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IMAVERA 2019\PROJETÃO\"/>
    </mc:Choice>
  </mc:AlternateContent>
  <bookViews>
    <workbookView xWindow="240" yWindow="570" windowWidth="9135" windowHeight="4485" tabRatio="525" firstSheet="4" activeTab="6"/>
  </bookViews>
  <sheets>
    <sheet name="RESUMO" sheetId="37" r:id="rId1"/>
    <sheet name="CRON FÍSICO " sheetId="30" r:id="rId2"/>
    <sheet name="CRON FINAN" sheetId="36" r:id="rId3"/>
    <sheet name="PLAN ORÇ. PROJETÃO " sheetId="29" r:id="rId4"/>
    <sheet name="COMPOSIÇÃO" sheetId="32" r:id="rId5"/>
    <sheet name="PLAN AV S. SEB" sheetId="39" r:id="rId6"/>
    <sheet name="COMPOSIÇÃO AV S. SEB" sheetId="38" r:id="rId7"/>
    <sheet name="BDI" sheetId="34" r:id="rId8"/>
    <sheet name="COTAÇÃO" sheetId="35" r:id="rId9"/>
  </sheets>
  <externalReferences>
    <externalReference r:id="rId10"/>
    <externalReference r:id="rId11"/>
  </externalReferences>
  <definedNames>
    <definedName name="_xlnm.Print_Area" localSheetId="7">BDI!$A$1:$G$50</definedName>
    <definedName name="_xlnm.Print_Area" localSheetId="4">COMPOSIÇÃO!$A$1:$K$124</definedName>
    <definedName name="_xlnm.Print_Area" localSheetId="6">'COMPOSIÇÃO AV S. SEB'!$A$1:$J$139</definedName>
    <definedName name="_xlnm.Print_Area" localSheetId="2">'CRON FINAN'!$A$1:$W$46</definedName>
    <definedName name="_xlnm.Print_Area" localSheetId="5">'PLAN AV S. SEB'!$A$1:$I$39</definedName>
    <definedName name="_xlnm.Print_Area" localSheetId="3">'PLAN ORÇ. PROJETÃO '!$A$1:$K$110</definedName>
    <definedName name="_xlnm.Print_Titles" localSheetId="7">BDI!$1:$8</definedName>
    <definedName name="_xlnm.Print_Titles" localSheetId="4">COMPOSIÇÃO!$8:$9</definedName>
    <definedName name="_xlnm.Print_Titles" localSheetId="2">'CRON FINAN'!$A:$C,'CRON FINAN'!$7:$7</definedName>
    <definedName name="_xlnm.Print_Titles" localSheetId="3">'PLAN ORÇ. PROJETÃO '!$7:$8</definedName>
  </definedNames>
  <calcPr calcId="162913"/>
  <fileRecoveryPr repairLoad="1"/>
</workbook>
</file>

<file path=xl/calcChain.xml><?xml version="1.0" encoding="utf-8"?>
<calcChain xmlns="http://schemas.openxmlformats.org/spreadsheetml/2006/main">
  <c r="F28" i="39" l="1"/>
  <c r="C26" i="39"/>
  <c r="G9" i="39"/>
  <c r="J67" i="32"/>
  <c r="J49" i="32"/>
  <c r="J74" i="32"/>
  <c r="J101" i="29"/>
  <c r="J96" i="29"/>
  <c r="J91" i="29"/>
  <c r="J87" i="29"/>
  <c r="J82" i="29"/>
  <c r="J77" i="29"/>
  <c r="J72" i="29"/>
  <c r="J67" i="29"/>
  <c r="J42" i="29"/>
  <c r="J23" i="29"/>
  <c r="J25" i="29"/>
  <c r="G59" i="29"/>
  <c r="G40" i="29"/>
  <c r="G31" i="29"/>
  <c r="C36" i="37" l="1"/>
  <c r="C33" i="37"/>
  <c r="G50" i="29" l="1"/>
  <c r="I96" i="29" l="1"/>
  <c r="H12" i="29"/>
  <c r="H13" i="29"/>
  <c r="H14" i="29"/>
  <c r="H20" i="29"/>
  <c r="H21" i="29"/>
  <c r="H40" i="29"/>
  <c r="I40" i="29" s="1"/>
  <c r="J40" i="29" s="1"/>
  <c r="H67" i="29"/>
  <c r="I67" i="29" s="1"/>
  <c r="I101" i="29"/>
  <c r="I91" i="29"/>
  <c r="I87" i="29"/>
  <c r="I82" i="29"/>
  <c r="I77" i="29"/>
  <c r="I72" i="29"/>
  <c r="I20" i="29" l="1"/>
  <c r="J20" i="29" s="1"/>
  <c r="H31" i="29"/>
  <c r="I31" i="29" s="1"/>
  <c r="J31" i="29" s="1"/>
  <c r="H32" i="29"/>
  <c r="H41" i="29" s="1"/>
  <c r="H50" i="29"/>
  <c r="H59" i="29" s="1"/>
  <c r="I59" i="29" s="1"/>
  <c r="J59" i="29" s="1"/>
  <c r="I68" i="38"/>
  <c r="I67" i="38"/>
  <c r="H51" i="29" l="1"/>
  <c r="H17" i="38"/>
  <c r="H16" i="38"/>
  <c r="H15" i="38"/>
  <c r="H14" i="38"/>
  <c r="H13" i="38"/>
  <c r="I11" i="38"/>
  <c r="I12" i="38"/>
  <c r="I53" i="32"/>
  <c r="I59" i="32"/>
  <c r="I71" i="32"/>
  <c r="J77" i="32"/>
  <c r="I77" i="32"/>
  <c r="M37" i="35"/>
  <c r="I68" i="32"/>
  <c r="I33" i="32"/>
  <c r="I32" i="32"/>
  <c r="I31" i="32"/>
  <c r="J30" i="32"/>
  <c r="J29" i="32"/>
  <c r="J28" i="32"/>
  <c r="J27" i="32" s="1"/>
  <c r="H60" i="29" l="1"/>
  <c r="I10" i="38"/>
  <c r="H10" i="38"/>
  <c r="I27" i="32"/>
  <c r="K27" i="32" s="1"/>
  <c r="A4" i="39"/>
  <c r="H138" i="38"/>
  <c r="I137" i="38"/>
  <c r="I136" i="38"/>
  <c r="H135" i="38"/>
  <c r="H132" i="38"/>
  <c r="H129" i="38" s="1"/>
  <c r="I131" i="38"/>
  <c r="I130" i="38"/>
  <c r="H127" i="38"/>
  <c r="I126" i="38"/>
  <c r="I125" i="38"/>
  <c r="H124" i="38"/>
  <c r="I122" i="38"/>
  <c r="I121" i="38"/>
  <c r="I110" i="38" s="1"/>
  <c r="H120" i="38"/>
  <c r="H119" i="38"/>
  <c r="H118" i="38"/>
  <c r="H117" i="38"/>
  <c r="H116" i="38"/>
  <c r="H115" i="38"/>
  <c r="H114" i="38"/>
  <c r="H113" i="38"/>
  <c r="H112" i="38"/>
  <c r="H111" i="38"/>
  <c r="I108" i="38"/>
  <c r="I107" i="38"/>
  <c r="I104" i="38" s="1"/>
  <c r="H106" i="38"/>
  <c r="H105" i="38"/>
  <c r="I102" i="38"/>
  <c r="I101" i="38"/>
  <c r="H100" i="38"/>
  <c r="H99" i="38"/>
  <c r="I96" i="38"/>
  <c r="I95" i="38"/>
  <c r="H94" i="38"/>
  <c r="H93" i="38"/>
  <c r="I89" i="38"/>
  <c r="I88" i="38"/>
  <c r="H87" i="38"/>
  <c r="H86" i="38"/>
  <c r="I83" i="38"/>
  <c r="H82" i="38"/>
  <c r="I81" i="38"/>
  <c r="I77" i="38" s="1"/>
  <c r="H80" i="38"/>
  <c r="I79" i="38"/>
  <c r="H78" i="38"/>
  <c r="H74" i="38"/>
  <c r="H71" i="38" s="1"/>
  <c r="I73" i="38"/>
  <c r="I72" i="38"/>
  <c r="H66" i="38"/>
  <c r="H64" i="38"/>
  <c r="H61" i="38" s="1"/>
  <c r="I63" i="38"/>
  <c r="I62" i="38"/>
  <c r="I59" i="38"/>
  <c r="I58" i="38"/>
  <c r="H57" i="38"/>
  <c r="H56" i="38"/>
  <c r="H55" i="38"/>
  <c r="H54" i="38"/>
  <c r="H53" i="38"/>
  <c r="H52" i="38"/>
  <c r="H51" i="38"/>
  <c r="H50" i="38"/>
  <c r="I46" i="38"/>
  <c r="I45" i="38"/>
  <c r="H44" i="38"/>
  <c r="H43" i="38" s="1"/>
  <c r="H40" i="38"/>
  <c r="H37" i="38" s="1"/>
  <c r="I39" i="38"/>
  <c r="I38" i="38"/>
  <c r="H35" i="38"/>
  <c r="I34" i="38"/>
  <c r="I33" i="38"/>
  <c r="H32" i="38"/>
  <c r="H30" i="38"/>
  <c r="H29" i="38"/>
  <c r="H28" i="38"/>
  <c r="I27" i="38"/>
  <c r="I26" i="38" s="1"/>
  <c r="I24" i="38"/>
  <c r="I23" i="38" s="1"/>
  <c r="H23" i="38"/>
  <c r="I21" i="38"/>
  <c r="I20" i="38" s="1"/>
  <c r="J20" i="38" s="1"/>
  <c r="H20" i="38"/>
  <c r="G34" i="39"/>
  <c r="F34" i="39"/>
  <c r="D34" i="39"/>
  <c r="C34" i="39"/>
  <c r="B34" i="39"/>
  <c r="G33" i="39"/>
  <c r="F33" i="39"/>
  <c r="D33" i="39"/>
  <c r="C33" i="39"/>
  <c r="B33" i="39"/>
  <c r="G32" i="39"/>
  <c r="F32" i="39"/>
  <c r="D32" i="39"/>
  <c r="C32" i="39"/>
  <c r="B32" i="39"/>
  <c r="G31" i="39"/>
  <c r="F31" i="39"/>
  <c r="D31" i="39"/>
  <c r="C31" i="39"/>
  <c r="B31" i="39"/>
  <c r="G30" i="39"/>
  <c r="F30" i="39"/>
  <c r="D30" i="39"/>
  <c r="C30" i="39"/>
  <c r="B30" i="39"/>
  <c r="G29" i="39"/>
  <c r="F29" i="39"/>
  <c r="D29" i="39"/>
  <c r="C29" i="39"/>
  <c r="B29" i="39"/>
  <c r="G28" i="39"/>
  <c r="D28" i="39"/>
  <c r="C28" i="39"/>
  <c r="B28" i="39"/>
  <c r="G27" i="39"/>
  <c r="F27" i="39"/>
  <c r="D27" i="39"/>
  <c r="C27" i="39"/>
  <c r="B27" i="39"/>
  <c r="G26" i="39"/>
  <c r="F26" i="39"/>
  <c r="D26" i="39"/>
  <c r="B26" i="39"/>
  <c r="C25" i="39"/>
  <c r="G22" i="39"/>
  <c r="F22" i="39"/>
  <c r="D22" i="39"/>
  <c r="C22" i="39"/>
  <c r="B22" i="39"/>
  <c r="G21" i="39"/>
  <c r="F21" i="39"/>
  <c r="D21" i="39"/>
  <c r="C21" i="39"/>
  <c r="B21" i="39"/>
  <c r="G20" i="39"/>
  <c r="F20" i="39"/>
  <c r="D20" i="39"/>
  <c r="C20" i="39"/>
  <c r="B20" i="39"/>
  <c r="G19" i="39"/>
  <c r="F19" i="39"/>
  <c r="D19" i="39"/>
  <c r="C19" i="39"/>
  <c r="B19" i="39"/>
  <c r="G18" i="39"/>
  <c r="F18" i="39"/>
  <c r="D18" i="39"/>
  <c r="C18" i="39"/>
  <c r="B18" i="39"/>
  <c r="G17" i="39"/>
  <c r="F17" i="39"/>
  <c r="D17" i="39"/>
  <c r="C17" i="39"/>
  <c r="B17" i="39"/>
  <c r="G16" i="39"/>
  <c r="F16" i="39"/>
  <c r="D16" i="39"/>
  <c r="C16" i="39"/>
  <c r="B16" i="39"/>
  <c r="G15" i="39"/>
  <c r="F15" i="39"/>
  <c r="D15" i="39"/>
  <c r="C15" i="39"/>
  <c r="B15" i="39"/>
  <c r="G14" i="39"/>
  <c r="F14" i="39"/>
  <c r="D14" i="39"/>
  <c r="C14" i="39"/>
  <c r="B14" i="39"/>
  <c r="R13" i="39"/>
  <c r="M13" i="39"/>
  <c r="L17" i="39" s="1"/>
  <c r="G13" i="39"/>
  <c r="F13" i="39"/>
  <c r="D13" i="39"/>
  <c r="C13" i="39"/>
  <c r="B13" i="39"/>
  <c r="C12" i="39"/>
  <c r="F9" i="39"/>
  <c r="C9" i="39"/>
  <c r="C8" i="39"/>
  <c r="A3" i="39"/>
  <c r="A2" i="39"/>
  <c r="A1" i="39"/>
  <c r="M40" i="35"/>
  <c r="J15" i="32"/>
  <c r="H15" i="39" l="1"/>
  <c r="H29" i="39"/>
  <c r="I135" i="38"/>
  <c r="I129" i="38"/>
  <c r="I124" i="38"/>
  <c r="H104" i="38"/>
  <c r="I98" i="38"/>
  <c r="I86" i="38"/>
  <c r="J86" i="38" s="1"/>
  <c r="I71" i="38"/>
  <c r="J135" i="38"/>
  <c r="I92" i="38"/>
  <c r="J124" i="38"/>
  <c r="J23" i="38"/>
  <c r="H98" i="38"/>
  <c r="H77" i="38"/>
  <c r="J77" i="38" s="1"/>
  <c r="H92" i="38"/>
  <c r="H110" i="38"/>
  <c r="J110" i="38" s="1"/>
  <c r="J129" i="38"/>
  <c r="J10" i="38"/>
  <c r="J71" i="38"/>
  <c r="I66" i="38"/>
  <c r="J66" i="38" s="1"/>
  <c r="I28" i="39"/>
  <c r="I61" i="38"/>
  <c r="J61" i="38" s="1"/>
  <c r="I49" i="38"/>
  <c r="J49" i="38" s="1"/>
  <c r="H49" i="38"/>
  <c r="I43" i="38"/>
  <c r="J43" i="38" s="1"/>
  <c r="I37" i="38"/>
  <c r="J37" i="38" s="1"/>
  <c r="I32" i="38"/>
  <c r="J32" i="38" s="1"/>
  <c r="H26" i="38"/>
  <c r="J26" i="38" s="1"/>
  <c r="I15" i="39"/>
  <c r="I32" i="39"/>
  <c r="I20" i="39"/>
  <c r="I14" i="39"/>
  <c r="H33" i="39"/>
  <c r="I26" i="39"/>
  <c r="I13" i="39"/>
  <c r="I34" i="39"/>
  <c r="I19" i="39"/>
  <c r="H20" i="39"/>
  <c r="H28" i="39"/>
  <c r="I31" i="39"/>
  <c r="H32" i="39"/>
  <c r="H14" i="39"/>
  <c r="H19" i="39"/>
  <c r="I21" i="39"/>
  <c r="I27" i="39"/>
  <c r="I33" i="39"/>
  <c r="I16" i="39"/>
  <c r="I9" i="39"/>
  <c r="I10" i="39" s="1"/>
  <c r="I17" i="39"/>
  <c r="I22" i="39"/>
  <c r="I29" i="39"/>
  <c r="H13" i="39"/>
  <c r="H18" i="39"/>
  <c r="I30" i="39"/>
  <c r="J104" i="38"/>
  <c r="H17" i="39"/>
  <c r="H22" i="39"/>
  <c r="H27" i="39"/>
  <c r="H31" i="39"/>
  <c r="H9" i="39"/>
  <c r="H16" i="39"/>
  <c r="I18" i="39"/>
  <c r="H21" i="39"/>
  <c r="H26" i="39"/>
  <c r="H30" i="39"/>
  <c r="H34" i="39"/>
  <c r="B27" i="37"/>
  <c r="B24" i="37"/>
  <c r="B18" i="37"/>
  <c r="B15" i="37"/>
  <c r="B12" i="37"/>
  <c r="B9" i="37"/>
  <c r="G42" i="30"/>
  <c r="G39" i="30"/>
  <c r="G36" i="30"/>
  <c r="G33" i="30"/>
  <c r="G30" i="30"/>
  <c r="G27" i="30"/>
  <c r="G24" i="30"/>
  <c r="G21" i="30"/>
  <c r="G18" i="30"/>
  <c r="G15" i="30"/>
  <c r="G12" i="30"/>
  <c r="G9" i="30"/>
  <c r="B27" i="30"/>
  <c r="B24" i="30"/>
  <c r="B18" i="30"/>
  <c r="B15" i="30"/>
  <c r="B12" i="30"/>
  <c r="B9" i="30"/>
  <c r="B28" i="36"/>
  <c r="B25" i="36"/>
  <c r="B19" i="36"/>
  <c r="B13" i="36"/>
  <c r="B16" i="36"/>
  <c r="T37" i="36"/>
  <c r="R37" i="36"/>
  <c r="L37" i="36"/>
  <c r="Q34" i="36"/>
  <c r="B9" i="36"/>
  <c r="J98" i="38" l="1"/>
  <c r="J92" i="38"/>
  <c r="I35" i="39"/>
  <c r="I23" i="39"/>
  <c r="G34" i="36"/>
  <c r="L34" i="36"/>
  <c r="G37" i="36"/>
  <c r="V34" i="36"/>
  <c r="R34" i="36"/>
  <c r="N34" i="36"/>
  <c r="J34" i="36"/>
  <c r="F34" i="36"/>
  <c r="H37" i="36"/>
  <c r="N37" i="36"/>
  <c r="S37" i="36"/>
  <c r="J37" i="36"/>
  <c r="H34" i="36"/>
  <c r="M34" i="36"/>
  <c r="S34" i="36"/>
  <c r="U37" i="36"/>
  <c r="Q37" i="36"/>
  <c r="M37" i="36"/>
  <c r="I37" i="36"/>
  <c r="E37" i="36"/>
  <c r="D34" i="36"/>
  <c r="I34" i="36"/>
  <c r="O34" i="36"/>
  <c r="T34" i="36"/>
  <c r="D37" i="36"/>
  <c r="O37" i="36"/>
  <c r="E34" i="36"/>
  <c r="K34" i="36"/>
  <c r="P34" i="36"/>
  <c r="U34" i="36"/>
  <c r="F37" i="36"/>
  <c r="K37" i="36"/>
  <c r="P37" i="36"/>
  <c r="V37" i="36"/>
  <c r="I36" i="39" l="1"/>
  <c r="I38" i="39" s="1"/>
  <c r="I39" i="39" s="1"/>
  <c r="W31" i="36"/>
  <c r="C30" i="37" s="1"/>
  <c r="I89" i="32"/>
  <c r="I81" i="32"/>
  <c r="D101" i="29"/>
  <c r="D100" i="29"/>
  <c r="D96" i="29"/>
  <c r="D95" i="29"/>
  <c r="J124" i="32"/>
  <c r="J123" i="32"/>
  <c r="I122" i="32"/>
  <c r="I121" i="32" s="1"/>
  <c r="G101" i="29" s="1"/>
  <c r="H122" i="32"/>
  <c r="H121" i="32" s="1"/>
  <c r="J119" i="32"/>
  <c r="J118" i="32"/>
  <c r="I117" i="32"/>
  <c r="I116" i="32" s="1"/>
  <c r="G96" i="29" s="1"/>
  <c r="H117" i="32"/>
  <c r="H116" i="32" l="1"/>
  <c r="J121" i="32"/>
  <c r="K121" i="32" s="1"/>
  <c r="J116" i="32"/>
  <c r="H101" i="29" l="1"/>
  <c r="K101" i="29" s="1"/>
  <c r="K103" i="29" s="1"/>
  <c r="K116" i="32"/>
  <c r="H96" i="29"/>
  <c r="K96" i="29" s="1"/>
  <c r="K98" i="29" s="1"/>
  <c r="D91" i="29"/>
  <c r="D90" i="29"/>
  <c r="J113" i="32"/>
  <c r="J112" i="32"/>
  <c r="I111" i="32"/>
  <c r="I110" i="32" s="1"/>
  <c r="G91" i="29" s="1"/>
  <c r="H111" i="32"/>
  <c r="H110" i="32" s="1"/>
  <c r="D87" i="29"/>
  <c r="D86" i="29"/>
  <c r="D82" i="29"/>
  <c r="D81" i="29"/>
  <c r="D77" i="29"/>
  <c r="D76" i="29"/>
  <c r="D72" i="29"/>
  <c r="J110" i="32" l="1"/>
  <c r="K110" i="32" s="1"/>
  <c r="I83" i="32"/>
  <c r="D61" i="29"/>
  <c r="I65" i="32"/>
  <c r="G61" i="29" s="1"/>
  <c r="J69" i="32"/>
  <c r="J66" i="32"/>
  <c r="H91" i="29" l="1"/>
  <c r="K91" i="29" s="1"/>
  <c r="K93" i="29" s="1"/>
  <c r="J65" i="32"/>
  <c r="H61" i="29" s="1"/>
  <c r="I61" i="29" s="1"/>
  <c r="J62" i="29" s="1"/>
  <c r="K65" i="32" l="1"/>
  <c r="D52" i="29"/>
  <c r="I72" i="32"/>
  <c r="I10" i="32"/>
  <c r="J71" i="32"/>
  <c r="H52" i="29" s="1"/>
  <c r="I52" i="29" s="1"/>
  <c r="J52" i="29" s="1"/>
  <c r="J75" i="32"/>
  <c r="J73" i="32"/>
  <c r="D57" i="32"/>
  <c r="G52" i="29" l="1"/>
  <c r="K71" i="32" l="1"/>
  <c r="D40" i="29"/>
  <c r="D50" i="29" s="1"/>
  <c r="D59" i="29" s="1"/>
  <c r="C40" i="29" l="1"/>
  <c r="J63" i="32"/>
  <c r="J57" i="32"/>
  <c r="J51" i="32"/>
  <c r="D33" i="29"/>
  <c r="D24" i="29"/>
  <c r="J62" i="32"/>
  <c r="J61" i="32"/>
  <c r="I60" i="32"/>
  <c r="D23" i="29"/>
  <c r="J56" i="32"/>
  <c r="J55" i="32"/>
  <c r="I54" i="32"/>
  <c r="M39" i="35"/>
  <c r="M36" i="35"/>
  <c r="M35" i="35"/>
  <c r="M34" i="35"/>
  <c r="M33" i="35"/>
  <c r="M32" i="35"/>
  <c r="M31" i="35"/>
  <c r="M30" i="35"/>
  <c r="M29" i="35"/>
  <c r="M28" i="35"/>
  <c r="M27" i="35"/>
  <c r="M26" i="35"/>
  <c r="M25" i="35"/>
  <c r="M24" i="35"/>
  <c r="M23" i="35"/>
  <c r="M22" i="35"/>
  <c r="M21" i="35"/>
  <c r="M20" i="35"/>
  <c r="M19" i="35"/>
  <c r="M18" i="35"/>
  <c r="M17" i="35"/>
  <c r="M16" i="35"/>
  <c r="M15" i="35"/>
  <c r="M14" i="35"/>
  <c r="M13" i="35"/>
  <c r="M12" i="35"/>
  <c r="M11" i="35"/>
  <c r="M10" i="35"/>
  <c r="I50" i="32"/>
  <c r="I47" i="32" s="1"/>
  <c r="G22" i="29" s="1"/>
  <c r="J48" i="32"/>
  <c r="G33" i="29" l="1"/>
  <c r="J53" i="32"/>
  <c r="J59" i="32"/>
  <c r="G42" i="29"/>
  <c r="G23" i="29"/>
  <c r="G43" i="29"/>
  <c r="G24" i="29"/>
  <c r="J47" i="32"/>
  <c r="H33" i="29" l="1"/>
  <c r="I33" i="29" s="1"/>
  <c r="J33" i="29" s="1"/>
  <c r="K33" i="29" s="1"/>
  <c r="H22" i="29"/>
  <c r="I22" i="29" s="1"/>
  <c r="J22" i="29" s="1"/>
  <c r="K59" i="32"/>
  <c r="H43" i="29"/>
  <c r="I43" i="29" s="1"/>
  <c r="J43" i="29" s="1"/>
  <c r="H24" i="29"/>
  <c r="I24" i="29" s="1"/>
  <c r="J24" i="29" s="1"/>
  <c r="H23" i="29"/>
  <c r="I23" i="29" s="1"/>
  <c r="H42" i="29"/>
  <c r="I42" i="29" s="1"/>
  <c r="K53" i="32"/>
  <c r="K47" i="32"/>
  <c r="I101" i="32"/>
  <c r="I98" i="32" s="1"/>
  <c r="G82" i="29" s="1"/>
  <c r="J100" i="32"/>
  <c r="J99" i="32"/>
  <c r="J98" i="32" l="1"/>
  <c r="K98" i="32" l="1"/>
  <c r="H82" i="29"/>
  <c r="K82" i="29" s="1"/>
  <c r="K84" i="29" s="1"/>
  <c r="E14" i="29"/>
  <c r="C14" i="29"/>
  <c r="G14" i="29" l="1"/>
  <c r="I14" i="29" s="1"/>
  <c r="J14" i="29" s="1"/>
  <c r="E77" i="29" l="1"/>
  <c r="J107" i="32"/>
  <c r="J106" i="32"/>
  <c r="I105" i="32"/>
  <c r="I104" i="32" s="1"/>
  <c r="G87" i="29" s="1"/>
  <c r="H105" i="32"/>
  <c r="H104" i="32" s="1"/>
  <c r="J104" i="32" l="1"/>
  <c r="H87" i="29" s="1"/>
  <c r="K87" i="29" s="1"/>
  <c r="K88" i="29" s="1"/>
  <c r="K104" i="32" l="1"/>
  <c r="K6" i="29" l="1"/>
  <c r="BU311" i="34"/>
  <c r="BU310" i="34"/>
  <c r="BU309" i="34"/>
  <c r="CD308" i="34"/>
  <c r="CD309" i="34" s="1"/>
  <c r="CD310" i="34" s="1"/>
  <c r="CD311" i="34" s="1"/>
  <c r="CD312" i="34" s="1"/>
  <c r="BT308" i="34"/>
  <c r="BU308" i="34" s="1"/>
  <c r="CE307" i="34"/>
  <c r="CD307" i="34"/>
  <c r="BU307" i="34"/>
  <c r="BT306" i="34"/>
  <c r="BU306" i="34" s="1"/>
  <c r="CE300" i="34"/>
  <c r="CD300" i="34"/>
  <c r="CD301" i="34" s="1"/>
  <c r="CD302" i="34" s="1"/>
  <c r="CD303" i="34" s="1"/>
  <c r="CD304" i="34" s="1"/>
  <c r="CD305" i="34" s="1"/>
  <c r="CD295" i="34"/>
  <c r="CD296" i="34" s="1"/>
  <c r="CD297" i="34" s="1"/>
  <c r="CD298" i="34" s="1"/>
  <c r="CD299" i="34" s="1"/>
  <c r="BU295" i="34"/>
  <c r="BW295" i="34" s="1"/>
  <c r="D50" i="34" s="1"/>
  <c r="CE294" i="34"/>
  <c r="CD294" i="34"/>
  <c r="CD288" i="34"/>
  <c r="CD289" i="34" s="1"/>
  <c r="CD290" i="34" s="1"/>
  <c r="CD291" i="34" s="1"/>
  <c r="CD292" i="34" s="1"/>
  <c r="CE287" i="34"/>
  <c r="CD287" i="34"/>
  <c r="CE279" i="34"/>
  <c r="CD279" i="34"/>
  <c r="CD280" i="34" s="1"/>
  <c r="CD281" i="34" s="1"/>
  <c r="CD282" i="34" s="1"/>
  <c r="CD283" i="34" s="1"/>
  <c r="CD284" i="34" s="1"/>
  <c r="CE271" i="34"/>
  <c r="CD271" i="34"/>
  <c r="CD272" i="34" s="1"/>
  <c r="CD273" i="34" s="1"/>
  <c r="CD274" i="34" s="1"/>
  <c r="CD275" i="34" s="1"/>
  <c r="CD276" i="34" s="1"/>
  <c r="CI267" i="34"/>
  <c r="BV262" i="34"/>
  <c r="BV261" i="34"/>
  <c r="BV260" i="34"/>
  <c r="BV259" i="34"/>
  <c r="BV258" i="34"/>
  <c r="BV257" i="34"/>
  <c r="K54" i="34"/>
  <c r="K46" i="34"/>
  <c r="I38" i="34"/>
  <c r="I37" i="34"/>
  <c r="I36" i="34"/>
  <c r="I35" i="34"/>
  <c r="I34" i="34"/>
  <c r="F26" i="34"/>
  <c r="F56" i="34" s="1"/>
  <c r="I56" i="34" s="1"/>
  <c r="C24" i="34"/>
  <c r="CI266" i="34" s="1"/>
  <c r="K11" i="34"/>
  <c r="I95" i="32"/>
  <c r="I92" i="32" s="1"/>
  <c r="J94" i="32"/>
  <c r="J93" i="32"/>
  <c r="I86" i="32"/>
  <c r="G72" i="29" s="1"/>
  <c r="J88" i="32"/>
  <c r="J87" i="32"/>
  <c r="J79" i="32"/>
  <c r="I25" i="32"/>
  <c r="I24" i="32"/>
  <c r="I23" i="32"/>
  <c r="I22" i="32"/>
  <c r="I21" i="32"/>
  <c r="J20" i="32"/>
  <c r="J19" i="32"/>
  <c r="J16" i="32"/>
  <c r="J14" i="32" s="1"/>
  <c r="I14" i="32"/>
  <c r="J11" i="32"/>
  <c r="J10" i="32" s="1"/>
  <c r="J92" i="32" l="1"/>
  <c r="K52" i="29"/>
  <c r="K59" i="29"/>
  <c r="K61" i="29"/>
  <c r="K31" i="29"/>
  <c r="K42" i="29"/>
  <c r="K43" i="29"/>
  <c r="K23" i="29"/>
  <c r="K24" i="29"/>
  <c r="K14" i="29"/>
  <c r="O14" i="29" s="1"/>
  <c r="H77" i="29"/>
  <c r="K10" i="32"/>
  <c r="G77" i="29"/>
  <c r="J86" i="32"/>
  <c r="H72" i="29" s="1"/>
  <c r="B15" i="34"/>
  <c r="BX295" i="34"/>
  <c r="E50" i="34" s="1"/>
  <c r="F40" i="34"/>
  <c r="I40" i="34" s="1"/>
  <c r="E46" i="34" s="1"/>
  <c r="B47" i="34" s="1"/>
  <c r="E54" i="34"/>
  <c r="BU296" i="34"/>
  <c r="BV295" i="34"/>
  <c r="C50" i="34" s="1"/>
  <c r="I18" i="32"/>
  <c r="J18" i="32"/>
  <c r="K14" i="32"/>
  <c r="K62" i="29" l="1"/>
  <c r="W25" i="36" s="1"/>
  <c r="C24" i="37" s="1"/>
  <c r="K86" i="32"/>
  <c r="K92" i="32"/>
  <c r="K18" i="32"/>
  <c r="BU297" i="34"/>
  <c r="BX296" i="34"/>
  <c r="E34" i="34" s="1"/>
  <c r="BW296" i="34"/>
  <c r="D34" i="34" s="1"/>
  <c r="BV296" i="34"/>
  <c r="C34" i="34" s="1"/>
  <c r="I25" i="36" l="1"/>
  <c r="O25" i="36"/>
  <c r="G25" i="36"/>
  <c r="U25" i="36"/>
  <c r="V25" i="36"/>
  <c r="L25" i="36"/>
  <c r="F25" i="36"/>
  <c r="T25" i="36"/>
  <c r="H25" i="36"/>
  <c r="Q25" i="36"/>
  <c r="P25" i="36"/>
  <c r="E25" i="36"/>
  <c r="J25" i="36"/>
  <c r="K25" i="36"/>
  <c r="D25" i="36"/>
  <c r="M25" i="36"/>
  <c r="R25" i="36"/>
  <c r="S25" i="36"/>
  <c r="N25" i="36"/>
  <c r="K77" i="29"/>
  <c r="K79" i="29" s="1"/>
  <c r="K34" i="34"/>
  <c r="BU298" i="34"/>
  <c r="BW297" i="34"/>
  <c r="D35" i="34" s="1"/>
  <c r="BX297" i="34"/>
  <c r="E35" i="34" s="1"/>
  <c r="K35" i="34" s="1"/>
  <c r="BV297" i="34"/>
  <c r="C35" i="34" s="1"/>
  <c r="BX298" i="34" l="1"/>
  <c r="E36" i="34" s="1"/>
  <c r="BU299" i="34"/>
  <c r="BW298" i="34"/>
  <c r="D36" i="34" s="1"/>
  <c r="BV298" i="34"/>
  <c r="C36" i="34" s="1"/>
  <c r="BU300" i="34" l="1"/>
  <c r="BX299" i="34"/>
  <c r="E37" i="34" s="1"/>
  <c r="BW299" i="34"/>
  <c r="D37" i="34" s="1"/>
  <c r="BV299" i="34"/>
  <c r="C37" i="34" s="1"/>
  <c r="K36" i="34"/>
  <c r="K37" i="34" l="1"/>
  <c r="BV300" i="34"/>
  <c r="C38" i="34" s="1"/>
  <c r="BX300" i="34"/>
  <c r="E38" i="34" s="1"/>
  <c r="K38" i="34" s="1"/>
  <c r="BW300" i="34"/>
  <c r="D38" i="34" s="1"/>
  <c r="O38" i="29" l="1"/>
  <c r="E21" i="29" l="1"/>
  <c r="D21" i="29"/>
  <c r="D32" i="29" s="1"/>
  <c r="C21" i="29"/>
  <c r="I45" i="32"/>
  <c r="I44" i="32"/>
  <c r="J43" i="32"/>
  <c r="J42" i="32"/>
  <c r="J41" i="32" l="1"/>
  <c r="I41" i="32"/>
  <c r="G21" i="29" l="1"/>
  <c r="K41" i="32"/>
  <c r="G32" i="29" l="1"/>
  <c r="I21" i="29"/>
  <c r="J21" i="29" s="1"/>
  <c r="I32" i="29" l="1"/>
  <c r="G41" i="29"/>
  <c r="I39" i="32"/>
  <c r="I36" i="32" s="1"/>
  <c r="G20" i="29" s="1"/>
  <c r="J38" i="32"/>
  <c r="J37" i="32"/>
  <c r="G51" i="29" l="1"/>
  <c r="I41" i="29"/>
  <c r="J41" i="29" s="1"/>
  <c r="J32" i="29"/>
  <c r="K32" i="29" s="1"/>
  <c r="K35" i="29" s="1"/>
  <c r="W16" i="36" s="1"/>
  <c r="J36" i="32"/>
  <c r="C15" i="37" l="1"/>
  <c r="N16" i="36"/>
  <c r="S16" i="36"/>
  <c r="K16" i="36"/>
  <c r="H16" i="36"/>
  <c r="E16" i="36"/>
  <c r="Q16" i="36"/>
  <c r="J16" i="36"/>
  <c r="V16" i="36"/>
  <c r="O16" i="36"/>
  <c r="P16" i="36"/>
  <c r="D16" i="36"/>
  <c r="L16" i="36"/>
  <c r="I16" i="36"/>
  <c r="U16" i="36"/>
  <c r="T16" i="36"/>
  <c r="M16" i="36"/>
  <c r="F16" i="36"/>
  <c r="R16" i="36"/>
  <c r="G16" i="36"/>
  <c r="G60" i="29"/>
  <c r="I60" i="29" s="1"/>
  <c r="J60" i="29" s="1"/>
  <c r="I51" i="29"/>
  <c r="J51" i="29" s="1"/>
  <c r="K36" i="32"/>
  <c r="E20" i="29"/>
  <c r="D20" i="29"/>
  <c r="D31" i="29" s="1"/>
  <c r="C20" i="29"/>
  <c r="I82" i="32"/>
  <c r="J80" i="32"/>
  <c r="J78" i="32"/>
  <c r="K40" i="29" l="1"/>
  <c r="K45" i="29" s="1"/>
  <c r="G67" i="29"/>
  <c r="I50" i="29" l="1"/>
  <c r="W19" i="36"/>
  <c r="C18" i="37" s="1"/>
  <c r="K67" i="29"/>
  <c r="K69" i="29" s="1"/>
  <c r="K77" i="32"/>
  <c r="J50" i="29" l="1"/>
  <c r="K50" i="29" s="1"/>
  <c r="K54" i="29" s="1"/>
  <c r="W22" i="36" s="1"/>
  <c r="L22" i="36" s="1"/>
  <c r="T19" i="36"/>
  <c r="H19" i="36"/>
  <c r="K19" i="36"/>
  <c r="J19" i="36"/>
  <c r="M19" i="36"/>
  <c r="D19" i="36"/>
  <c r="G19" i="36"/>
  <c r="F19" i="36"/>
  <c r="I19" i="36"/>
  <c r="P19" i="36"/>
  <c r="S19" i="36"/>
  <c r="V19" i="36"/>
  <c r="U19" i="36"/>
  <c r="R19" i="36"/>
  <c r="O19" i="36"/>
  <c r="N19" i="36"/>
  <c r="Q19" i="36"/>
  <c r="E19" i="36"/>
  <c r="L19" i="36"/>
  <c r="C12" i="29"/>
  <c r="D12" i="29"/>
  <c r="O22" i="36" l="1"/>
  <c r="M22" i="36"/>
  <c r="N22" i="36"/>
  <c r="I22" i="36"/>
  <c r="Q22" i="36"/>
  <c r="R22" i="36"/>
  <c r="U22" i="36"/>
  <c r="C21" i="37"/>
  <c r="F22" i="36"/>
  <c r="T22" i="36"/>
  <c r="D22" i="36"/>
  <c r="S22" i="36"/>
  <c r="K22" i="36"/>
  <c r="E22" i="36"/>
  <c r="V22" i="36"/>
  <c r="G22" i="36"/>
  <c r="H22" i="36"/>
  <c r="P22" i="36"/>
  <c r="J22" i="36"/>
  <c r="D13" i="29"/>
  <c r="D11" i="29"/>
  <c r="C13" i="29" l="1"/>
  <c r="E13" i="29"/>
  <c r="G13" i="29" l="1"/>
  <c r="I13" i="29" s="1"/>
  <c r="J13" i="29" s="1"/>
  <c r="E11" i="29" l="1"/>
  <c r="C11" i="29"/>
  <c r="H11" i="29" l="1"/>
  <c r="G11" i="29"/>
  <c r="K21" i="29" l="1"/>
  <c r="K72" i="29"/>
  <c r="K73" i="29" s="1"/>
  <c r="K105" i="29" s="1"/>
  <c r="K22" i="29"/>
  <c r="K20" i="29"/>
  <c r="K13" i="29"/>
  <c r="I11" i="29"/>
  <c r="J11" i="29" l="1"/>
  <c r="K11" i="29" s="1"/>
  <c r="K26" i="29"/>
  <c r="W28" i="36"/>
  <c r="C27" i="37" s="1"/>
  <c r="G12" i="29"/>
  <c r="I12" i="29" s="1"/>
  <c r="J12" i="29" s="1"/>
  <c r="W13" i="36" l="1"/>
  <c r="D28" i="36"/>
  <c r="T28" i="36"/>
  <c r="R28" i="36"/>
  <c r="M28" i="36"/>
  <c r="G28" i="36"/>
  <c r="F28" i="36"/>
  <c r="U28" i="36"/>
  <c r="J28" i="36"/>
  <c r="S28" i="36"/>
  <c r="N28" i="36"/>
  <c r="I28" i="36"/>
  <c r="V28" i="36"/>
  <c r="Q28" i="36"/>
  <c r="K28" i="36"/>
  <c r="O28" i="36"/>
  <c r="E28" i="36"/>
  <c r="H28" i="36"/>
  <c r="L28" i="36"/>
  <c r="P28" i="36"/>
  <c r="K13" i="36" l="1"/>
  <c r="C12" i="37"/>
  <c r="V13" i="36"/>
  <c r="J13" i="36"/>
  <c r="O13" i="36"/>
  <c r="F13" i="36"/>
  <c r="H13" i="36"/>
  <c r="G13" i="36"/>
  <c r="U13" i="36"/>
  <c r="L13" i="36"/>
  <c r="D13" i="36"/>
  <c r="T13" i="36"/>
  <c r="M13" i="36"/>
  <c r="Q13" i="36"/>
  <c r="I13" i="36"/>
  <c r="R13" i="36"/>
  <c r="N13" i="36"/>
  <c r="P13" i="36"/>
  <c r="S13" i="36"/>
  <c r="E13" i="36"/>
  <c r="K12" i="29"/>
  <c r="K15" i="29" s="1"/>
  <c r="W9" i="36" l="1"/>
  <c r="K110" i="29"/>
  <c r="N15" i="29"/>
  <c r="L15" i="29"/>
  <c r="M15" i="29" s="1"/>
  <c r="W41" i="36" l="1"/>
  <c r="C9" i="37"/>
  <c r="C38" i="37" s="1"/>
  <c r="J39" i="39"/>
  <c r="P9" i="36"/>
  <c r="D9" i="36"/>
  <c r="O9" i="36"/>
  <c r="R9" i="36"/>
  <c r="U9" i="36"/>
  <c r="M9" i="36"/>
  <c r="H9" i="36"/>
  <c r="K9" i="36"/>
  <c r="N9" i="36"/>
  <c r="E9" i="36"/>
  <c r="I9" i="36"/>
  <c r="T9" i="36"/>
  <c r="G9" i="36"/>
  <c r="J9" i="36"/>
  <c r="S9" i="36"/>
  <c r="V9" i="36"/>
  <c r="F9" i="36"/>
  <c r="Q9" i="36"/>
  <c r="L9" i="36"/>
  <c r="L113" i="29"/>
  <c r="D48" i="36" l="1"/>
  <c r="O31" i="36" l="1"/>
  <c r="O43" i="36" s="1"/>
  <c r="F31" i="36"/>
  <c r="F43" i="36" s="1"/>
  <c r="K31" i="36"/>
  <c r="K43" i="36" s="1"/>
  <c r="G31" i="36"/>
  <c r="G43" i="36" s="1"/>
  <c r="R31" i="36"/>
  <c r="R43" i="36" s="1"/>
  <c r="N31" i="36"/>
  <c r="N43" i="36" s="1"/>
  <c r="V31" i="36"/>
  <c r="V43" i="36" s="1"/>
  <c r="S31" i="36"/>
  <c r="S43" i="36" s="1"/>
  <c r="P31" i="36"/>
  <c r="P43" i="36" s="1"/>
  <c r="E31" i="36"/>
  <c r="E43" i="36" s="1"/>
  <c r="U31" i="36"/>
  <c r="U43" i="36" s="1"/>
  <c r="M31" i="36"/>
  <c r="M43" i="36" s="1"/>
  <c r="L31" i="36"/>
  <c r="L43" i="36" s="1"/>
  <c r="J31" i="36"/>
  <c r="J43" i="36" s="1"/>
  <c r="D31" i="36"/>
  <c r="D43" i="36" s="1"/>
  <c r="T31" i="36"/>
  <c r="T43" i="36" s="1"/>
  <c r="I31" i="36"/>
  <c r="I43" i="36" s="1"/>
  <c r="H31" i="36"/>
  <c r="H43" i="36" s="1"/>
  <c r="Q31" i="36"/>
  <c r="Q43" i="36" s="1"/>
  <c r="M45" i="36" l="1"/>
  <c r="G45" i="36"/>
  <c r="Q45" i="36"/>
  <c r="D45" i="36"/>
  <c r="D46" i="36" s="1"/>
  <c r="D44" i="36"/>
  <c r="E44" i="36" s="1"/>
  <c r="F44" i="36" s="1"/>
  <c r="G44" i="36" s="1"/>
  <c r="H44" i="36" s="1"/>
  <c r="I44" i="36" s="1"/>
  <c r="J44" i="36" s="1"/>
  <c r="K44" i="36" s="1"/>
  <c r="L44" i="36" s="1"/>
  <c r="M44" i="36" s="1"/>
  <c r="N44" i="36" s="1"/>
  <c r="O44" i="36" s="1"/>
  <c r="P44" i="36" s="1"/>
  <c r="Q44" i="36" s="1"/>
  <c r="R44" i="36" s="1"/>
  <c r="S44" i="36" s="1"/>
  <c r="T44" i="36" s="1"/>
  <c r="U44" i="36" s="1"/>
  <c r="V44" i="36" s="1"/>
  <c r="U45" i="36"/>
  <c r="V45" i="36"/>
  <c r="K45" i="36"/>
  <c r="C9" i="36"/>
  <c r="C28" i="36"/>
  <c r="C16" i="36"/>
  <c r="C25" i="36"/>
  <c r="C34" i="36"/>
  <c r="C37" i="36"/>
  <c r="C19" i="36"/>
  <c r="C13" i="36"/>
  <c r="H45" i="36"/>
  <c r="N45" i="36"/>
  <c r="F45" i="36"/>
  <c r="T45" i="36"/>
  <c r="S45" i="36"/>
  <c r="J45" i="36"/>
  <c r="E45" i="36"/>
  <c r="C31" i="36"/>
  <c r="I45" i="36"/>
  <c r="L45" i="36"/>
  <c r="P45" i="36"/>
  <c r="R45" i="36"/>
  <c r="O45" i="36"/>
  <c r="E46" i="36" l="1"/>
  <c r="F46" i="36" s="1"/>
  <c r="G46" i="36" s="1"/>
  <c r="H46" i="36" s="1"/>
  <c r="I46" i="36" s="1"/>
  <c r="J46" i="36" s="1"/>
  <c r="K46" i="36" s="1"/>
  <c r="L46" i="36" s="1"/>
  <c r="M46" i="36" s="1"/>
  <c r="N46" i="36" s="1"/>
  <c r="O46" i="36" s="1"/>
  <c r="P46" i="36" s="1"/>
  <c r="Q46" i="36" s="1"/>
  <c r="R46" i="36" s="1"/>
  <c r="S46" i="36" s="1"/>
  <c r="T46" i="36" s="1"/>
  <c r="U46" i="36" s="1"/>
  <c r="V46" i="36" s="1"/>
  <c r="C41" i="36"/>
</calcChain>
</file>

<file path=xl/sharedStrings.xml><?xml version="1.0" encoding="utf-8"?>
<sst xmlns="http://schemas.openxmlformats.org/spreadsheetml/2006/main" count="1405" uniqueCount="551">
  <si>
    <t>Und</t>
  </si>
  <si>
    <t>M</t>
  </si>
  <si>
    <t>%</t>
  </si>
  <si>
    <t>TOTAL</t>
  </si>
  <si>
    <t>Ítem</t>
  </si>
  <si>
    <t>SINAPI/ COMP.</t>
  </si>
  <si>
    <t>Quant</t>
  </si>
  <si>
    <t>Total</t>
  </si>
  <si>
    <t>SERVIÇOS PRELIMINARES</t>
  </si>
  <si>
    <t>1.1</t>
  </si>
  <si>
    <t>30dias</t>
  </si>
  <si>
    <t>60dias</t>
  </si>
  <si>
    <t>PERCENTUAL MENSAL ( % )</t>
  </si>
  <si>
    <t>PERCENTUAL ACUMULADO ( % )</t>
  </si>
  <si>
    <t>H</t>
  </si>
  <si>
    <t>SERT</t>
  </si>
  <si>
    <t>UN</t>
  </si>
  <si>
    <t/>
  </si>
  <si>
    <t>COMPOSICAO</t>
  </si>
  <si>
    <t>CHP</t>
  </si>
  <si>
    <t>SERVENTE COM ENCARGOS COMPLEMENTARES</t>
  </si>
  <si>
    <t>AUXILIAR DE ELETRICISTA COM ENCARGOS COMPLEMENTARES</t>
  </si>
  <si>
    <t>ELETRICISTA COM ENCARGOS COMPLEMENTARES</t>
  </si>
  <si>
    <t>INSUMO</t>
  </si>
  <si>
    <t>INEL</t>
  </si>
  <si>
    <t>COTAÇÃO</t>
  </si>
  <si>
    <t>2.1</t>
  </si>
  <si>
    <t>Material</t>
  </si>
  <si>
    <t>Mão de Obra</t>
  </si>
  <si>
    <t>ART - ANOTAÇÃO DE RESPONSABILIDADE TÉCNICA</t>
  </si>
  <si>
    <t>Risco</t>
  </si>
  <si>
    <t>PIS</t>
  </si>
  <si>
    <t>% serv.</t>
  </si>
  <si>
    <t>88264</t>
  </si>
  <si>
    <t>88247</t>
  </si>
  <si>
    <t>88316</t>
  </si>
  <si>
    <t>ANOTAÇÃO DE RESPONSABILIDADE TÉCNICA COM VALOR DE CONTRATO ACIMA DE R$15.000,00</t>
  </si>
  <si>
    <t>FITA ISOLANTE ADESIVA ANTICHAMA, USO ATE 750 V, EM ROLO DE 19 MM X 5 M</t>
  </si>
  <si>
    <t>90dias</t>
  </si>
  <si>
    <t>Referência</t>
  </si>
  <si>
    <t>Cóigos</t>
  </si>
  <si>
    <t>Especificações</t>
  </si>
  <si>
    <t>Unidade</t>
  </si>
  <si>
    <t>Coef</t>
  </si>
  <si>
    <t>V. Unit</t>
  </si>
  <si>
    <t>Materiais</t>
  </si>
  <si>
    <t>M. de Obra</t>
  </si>
  <si>
    <t>COMPOSIÇÃO UNITÁRIA DE PREÇOS</t>
  </si>
  <si>
    <t>Especificação</t>
  </si>
  <si>
    <t>M3</t>
  </si>
  <si>
    <t>88262</t>
  </si>
  <si>
    <t>CARPINTEIRO DE FORMAS COM ENCARGOS COMPLEMENTARES</t>
  </si>
  <si>
    <t>KG</t>
  </si>
  <si>
    <t>M2</t>
  </si>
  <si>
    <t>CANT</t>
  </si>
  <si>
    <t>PLACA DE OBRA EM CHAPA DE ACO GALVANIZADO</t>
  </si>
  <si>
    <t>94962</t>
  </si>
  <si>
    <t>CONCRETO MAGRO PARA LASTRO, TRAÇO 1:4,5:4,5 (CIMENTO/ AREIA MÉDIA/ BRITA 1)  - PREPARO MECÂNICO COM BETONEIRA 400 L. AF_07/2016</t>
  </si>
  <si>
    <t>4417</t>
  </si>
  <si>
    <t>SARRAFO DE MADEIRA NAO APARELHADA *2,5 X 7* CM, MACARANDUBA, ANGELIM OU EQUIVALENTE DA REGIAO</t>
  </si>
  <si>
    <t>4491</t>
  </si>
  <si>
    <t>PECA DE MADEIRA NATIVA / REGIONAL 7,5 X 7,5CM (3X3) NAO APARELHADA (P/FORMA)</t>
  </si>
  <si>
    <t>4813</t>
  </si>
  <si>
    <t>PLACA DE OBRA (PARA CONSTRUCAO CIVIL) EM CHAPA GALVANIZADA *N. 22*, DE *2,0 X 1,125* M</t>
  </si>
  <si>
    <t>5075</t>
  </si>
  <si>
    <t>PREGO DE ACO POLIDO COM CABECA 18 X 30 (2 3/4 X 10)</t>
  </si>
  <si>
    <t>1.3</t>
  </si>
  <si>
    <t>CUSTO</t>
  </si>
  <si>
    <t>COMPOSIÇÃO</t>
  </si>
  <si>
    <t>ADMT</t>
  </si>
  <si>
    <t>PLANILHA ORÇAMENTÁRIA</t>
  </si>
  <si>
    <t>TOTAL SERVIÇOS PRELIMINARES</t>
  </si>
  <si>
    <t>74209/001</t>
  </si>
  <si>
    <t>GUINDAUTO HIDRÁULICO, CAPACIDADE MÁXIMA DE CARGA 3300 KG, MOMENTO MÁXIMO DE CARGA 5,8 TM, ALCANCE MÁXIMO HORIZONTAL 7,60 M, INCLUSIVE CAMINHÃO TOCO PBT 16.000 KG, POTÊNCIA DE 189 CV - CHP DIURNO. AF_03/2016</t>
  </si>
  <si>
    <t xml:space="preserve">COMPOSIÇÃO </t>
  </si>
  <si>
    <t>91634</t>
  </si>
  <si>
    <t>GUINDAUTO HIDRÁULICO, CAPACIDADE MÁXIMA DE CARGA 6500 KG, MOMENTO MÁXIMO DE CARGA 5,8 TM, ALCANCE MÁXIMO HORIZONTAL 7,60 M, INCLUSIVE CAMINHÃO TOCO PBT 9.700 KG, POTÊNCIA DE 160 CV - CHP DIURNO. AF_08/2015</t>
  </si>
  <si>
    <t xml:space="preserve">V. Unit </t>
  </si>
  <si>
    <t>CREA-MT</t>
  </si>
  <si>
    <t>CUSTO UNITÁRIO</t>
  </si>
  <si>
    <t>OBRA: MELHORIA, MODERNIZAÇÃO E IMPLANTAÇÃO DO SISTEMA DE ILUMINAÇÃO PÚBLICA DO TIPO ORNAMENTAL COM LUMINÁRIAS LED</t>
  </si>
  <si>
    <t>1.2</t>
  </si>
  <si>
    <t>1.4</t>
  </si>
  <si>
    <t>X</t>
  </si>
  <si>
    <t>Valor sem BDI</t>
  </si>
  <si>
    <t>Valor com BDI</t>
  </si>
  <si>
    <t>TOTAL DAS OBRAS  COM BDI:</t>
  </si>
  <si>
    <t>CÓD. COMP.</t>
  </si>
  <si>
    <t>Total (R$)</t>
  </si>
  <si>
    <t>MES</t>
  </si>
  <si>
    <t>CABO DE COBRE FLEXÍVEL ISOLADO, 2,5 MM², ANTI-CHAMA 450/750 V, PARA CIRCUITOS TERMINAIS - FORNECIMENTO E INSTALAÇÃO. AF_12/2015.</t>
  </si>
  <si>
    <t>CABO DE COBRE, FLEXIVEL, CLASSE 4 OU 5, ISOLACAO EM PVC/A, ANTICHAMA BWF-B, 1CONDUTOR, 450/750 V, SECAO NOMINAL 2,5 MM2.</t>
  </si>
  <si>
    <t>TROCA DE LUMINÁRIAS EM BRAÇOS DA REDE DE ILUMINAÇÃO PÚBLICA</t>
  </si>
  <si>
    <t>CIDADE : MUNICÍPIO SEDE DE PRIMAVERA DO LESTE - MT</t>
  </si>
  <si>
    <t>LUMINÁRIA EM LED PARA ILUMINAÇÃO PÚBLICA, 100W, LED AC, LENTES POLICARBONATO,CORPO EM ALUMÍNIO INJ, 220V, FP0,97, PROT. DPS 10KV, IP65, IK10, TEMP. COR 5700K, IRC= OU 70%, V. ÚTIL 50.000H, 110LM/W, LM79, GAR.5 ANOS, MODELO GL316 G-LIGHT OU SIMILAR - FORNECIMENTO E INSTALAÇÃO.</t>
  </si>
  <si>
    <t>2.1.1</t>
  </si>
  <si>
    <t>2.1.2</t>
  </si>
  <si>
    <t>2.1.3</t>
  </si>
  <si>
    <t>MOBILIZACAO E DESMOBILIZAÇÃO DE 01 EQUIPAMENTO CAMINHÃO MUNCK COM CESTO AÉREO, DISTANCIA DE 10KM ATE 20KM</t>
  </si>
  <si>
    <t>COMPOSIÇÃO REFERÊNCIA: SINAPI - 83401</t>
  </si>
  <si>
    <t>LUMINARIA DE LED PARA ILUMINACAO PÚBLICA, COM POTÊNCIA DE CONSUMO DE 150W E EFICIÊNCIA 110LM/W, FLUXO TOTAL MÍNIMO 16.500LM,  TEMPERATURA DE COR= 5000K +/- 400K, IRC&gt;70, TENSÃO DE ALIMENTAÇÃO ~90 A 277V E DISPOSITIVO DE PROTEÇÃO CONTRA DESCARGAS ATMOSFÉRICA-DPS, IP-66,  MODELO MAESTRA DA ILUMATIC, STREET LIGHTING GREENVISION BRP373 DA  PHILIPS, LEDVANCE®SKY DA OSRAM OU EQUIVALENTE - FORNECIMENTO E INSTALAÇÃO (OBS.: DEVERÃO SER OBSERVADOS OS REQUISITOS MÍNIMOS, CONFORME TERMO DE REFERÊNCIA DAS LUMINÁRIAS, CONSTANTES NO MEMORIAL DESCRITIVO).</t>
  </si>
  <si>
    <t>COMPOSIÇÃO REFERÊNCIA: SINAPI - 83487</t>
  </si>
  <si>
    <t>RELE FOTOELETRICO/ELETRÔNICO 1000W/220V SEM BASE</t>
  </si>
  <si>
    <t>COMPOSIÇÃO REFERÊNCIA: SINAPI - 83399</t>
  </si>
  <si>
    <t>DADOS INICIAIS</t>
  </si>
  <si>
    <t>TIPO DE OBRA:</t>
  </si>
  <si>
    <t>Construção e Manutenção de Estações e Redes de Distribuição de Energia Elétrica</t>
  </si>
  <si>
    <t>ENQUADRAMENTO NA DESONERAÇÃO CONFORME LEI N° 12.844/2013:*</t>
  </si>
  <si>
    <t>NÃO</t>
  </si>
  <si>
    <t>*Uso de encargos sociais desonerados na elaboração do orçamento</t>
  </si>
  <si>
    <t>ENQUADRAM-SE NO TIPO SELECIONADO:</t>
  </si>
  <si>
    <t>CÁLCULO DOS IMPOSTOS</t>
  </si>
  <si>
    <t xml:space="preserve">TRIBUTOS (impostos COFINS 3%, e PIS 0,65%) </t>
  </si>
  <si>
    <t>ISS BRUTO % (LEI MUNICIPAL):</t>
  </si>
  <si>
    <t>% INCIDÊNCIA (M.OBRA)*</t>
  </si>
  <si>
    <t>ISS LÍQUIDO</t>
  </si>
  <si>
    <t>TOTAL IMPOSTOS</t>
  </si>
  <si>
    <t>*Incidência do total do contrato que representa mão de obra para compor a base de cálculo conf. legislação municipal.</t>
  </si>
  <si>
    <t>VERFICAÇÃO E CÁLCULO DO BDI</t>
  </si>
  <si>
    <t>ITEM COMPONENTE</t>
  </si>
  <si>
    <t>1º QUARTIL</t>
  </si>
  <si>
    <t>MÉDIO</t>
  </si>
  <si>
    <t>3º QUARTIL</t>
  </si>
  <si>
    <t>Adotado</t>
  </si>
  <si>
    <t>Cálculo arredondado</t>
  </si>
  <si>
    <t>Administração Central</t>
  </si>
  <si>
    <t>Seguro e Garantia</t>
  </si>
  <si>
    <t>Despesas Financeiras</t>
  </si>
  <si>
    <t>Lucro</t>
  </si>
  <si>
    <t>Impostos</t>
  </si>
  <si>
    <t>BDI CALCULADO</t>
  </si>
  <si>
    <t>LIMITES DO BDI</t>
  </si>
  <si>
    <t>CORREÇÃO DA DESONERAÇÃO</t>
  </si>
  <si>
    <t>BDI CALCULADO C/ DESONERAÇÃO:</t>
  </si>
  <si>
    <t>Contribuição Previdenciária sobre a Receita Bruta (CPRB)</t>
  </si>
  <si>
    <t>BANCO DE DADOS</t>
  </si>
  <si>
    <t>TIPO DE OBRA</t>
  </si>
  <si>
    <t>CÓDIGO</t>
  </si>
  <si>
    <t>ENQUARAMENTO</t>
  </si>
  <si>
    <t>Construção de edificios</t>
  </si>
  <si>
    <t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</si>
  <si>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Construção de rodovias e ferrovias</t>
  </si>
  <si>
    <t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</si>
  <si>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Construção de Redes de Abastecimento de Água, Coleta de Esgoto e Construções Correlatas</t>
  </si>
  <si>
    <t>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</si>
  <si>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</si>
  <si>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>Portuárias, Marítimas e Fluviais</t>
  </si>
  <si>
    <t xml:space="preserve">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</si>
  <si>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Fornecimento de Materiais e Equipamentos</t>
  </si>
  <si>
    <t xml:space="preserve">O fornecimento de materiais e equipamentos relevantes de natureza específica, como é o caso de: materiais betuminosos para obras rodoviárias,tubos de ferro fundido ou PVC para obras de abastecimento de água,elevadores e escadas rolantes para obras aeroportuárias.
Os materiais e equipamentos devem compor itens próprios na planilha orçamentária, apartados de sua instalação, assentamento ou produção, p. ex., conjunto motor-bomba, tubulação de ferro fundido e material betuminoso, respectivamente.
A adoção de taxa de BDI reduzida somente se justifica no caso de ficarem satisfeitas cumulativamente as seguintes condições: fornecimento de materiais e equipamentos que possam ser contratados diretamente do fabricante ou de fornecedor com especialidade própria e diversa da contratada principal;que se constitua mera intermediação entre a construtora e o fabricante; que a intermediação para fornecimento de equipamentos seja atividade residual da construtora.
</t>
  </si>
  <si>
    <t>CONFINS</t>
  </si>
  <si>
    <t>BASE DE CÁLCULO</t>
  </si>
  <si>
    <t>LUCRO PRESUMIDO</t>
  </si>
  <si>
    <t>RECEITA BRUTA (VALOR DA NOTA)</t>
  </si>
  <si>
    <t>VALOR DA NOTA - RECUPERAÇÃO DE CRÉDITO (AQUISIÇÃO DE INSUMOS)</t>
  </si>
  <si>
    <t>Código da pesquisa</t>
  </si>
  <si>
    <t>1º Quartil</t>
  </si>
  <si>
    <t>Médio</t>
  </si>
  <si>
    <t>3º Quartil</t>
  </si>
  <si>
    <t>BDI</t>
  </si>
  <si>
    <t>1 Quartil</t>
  </si>
  <si>
    <t>3 Quartil</t>
  </si>
  <si>
    <t>FITA ISOLANTE DE BORRACHA AUTOFUSAO, USO ATE 69 KV (ALTA TENSAO)</t>
  </si>
  <si>
    <t>FITA ISOLANTE DE BORRACHA AUTOFUSAO, USO ATE 69 KV (ALTA TENSAO) - FORNECIMENTO E APLICAÇÃO</t>
  </si>
  <si>
    <t>COMPOSIÇÃO REFERÊNCIA: PRÓPRIA</t>
  </si>
  <si>
    <t>OK</t>
  </si>
  <si>
    <t>CORRIGIR</t>
  </si>
  <si>
    <t>CORROGIR</t>
  </si>
  <si>
    <t>ADMINISTRAÇÃO LOCAL</t>
  </si>
  <si>
    <t>DIA</t>
  </si>
  <si>
    <t>1.5</t>
  </si>
  <si>
    <t>ENCARREGADO</t>
  </si>
  <si>
    <t xml:space="preserve">TRANSPORTE DE PESSOAL DE OBRA </t>
  </si>
  <si>
    <t>ENGENHEIRO ELETRICISTA RESPONSÁVEL</t>
  </si>
  <si>
    <t>ALIMENTAÇÃO (2 REFEIÇÃO PARA 4 PESSOAS POR DIA)</t>
  </si>
  <si>
    <t>CAFÉ DA MANHÃ (1 REFEIÇÃO PARA 4 PESSOAS POR DIA)</t>
  </si>
  <si>
    <t>KIT BÁSICO DE EPI - FARDAMENTO, BOTA DE COURO, CAPACETE, LUVA RASPA, ÓCULOS, MÁSCARA FILTRO PAPEL, FILTRO SOLAR FPS30 (CUSTO MENSAL)</t>
  </si>
  <si>
    <t>UNID</t>
  </si>
  <si>
    <t>10516/ORSE</t>
  </si>
  <si>
    <t>REFERÊNCIA: Resolução CREA 1.067, de 26/09/2015 (PL 1758/2017)</t>
  </si>
  <si>
    <t>UN.</t>
  </si>
  <si>
    <t>3.1</t>
  </si>
  <si>
    <t>3.1.1</t>
  </si>
  <si>
    <t>3.1.2</t>
  </si>
  <si>
    <t>LOCAL: DIVERSOS LOCAIS</t>
  </si>
  <si>
    <t>JARDIM LUCIANA</t>
  </si>
  <si>
    <t>REMOÇÃO DE LUMINÁRIAS E ACESSÓRIOS EM BRAÇOS DA REDE DE ILUMINAÇÃO PÚBLICA, COM UTILIZAÇÃO DE EQUIPAMENTO MUNCK COM CESTO AÉREO.</t>
  </si>
  <si>
    <t>pç</t>
  </si>
  <si>
    <t>FORNECIMENTO E INSTALAÇÃO DE LÂMPADA VAPOR METÁLICO DE 70Watts</t>
  </si>
  <si>
    <t>LÂMPADA VAPOR METÁLICO 70 WATTS</t>
  </si>
  <si>
    <t>UND</t>
  </si>
  <si>
    <t xml:space="preserve"> COTAÇÃO DE PREÇOS DE MATERIAIS</t>
  </si>
  <si>
    <t>ITEM</t>
  </si>
  <si>
    <t>MATERIAL</t>
  </si>
  <si>
    <t>QUANT</t>
  </si>
  <si>
    <t>FORNECEDOR  1</t>
  </si>
  <si>
    <t>VALOR</t>
  </si>
  <si>
    <t>FORNECEDOR  2</t>
  </si>
  <si>
    <t>FORNECEDOR  3</t>
  </si>
  <si>
    <t>PREÇO  MÉDIO</t>
  </si>
  <si>
    <t xml:space="preserve">UN </t>
  </si>
  <si>
    <t>AMERICANAS</t>
  </si>
  <si>
    <t>AVANT</t>
  </si>
  <si>
    <t>DEMAPE</t>
  </si>
  <si>
    <t xml:space="preserve">Lâmpada Tubular de descarga a alta pressão de Vapor de Metálico, 250W, Base E40 </t>
  </si>
  <si>
    <t>CONTRAFO</t>
  </si>
  <si>
    <t>Lâmpada de descarga a alta pressão de Vapor Metálico  400W, Base E40</t>
  </si>
  <si>
    <t>ELETRORASTRO</t>
  </si>
  <si>
    <t>PETEL</t>
  </si>
  <si>
    <t xml:space="preserve">Reator para VS 150W, FP corrigido, 220V, 60Hz  EXTERNO </t>
  </si>
  <si>
    <t>Reator para vapor metálico 250W,AFP corrigido, 220V, 60Hz EXTERNO</t>
  </si>
  <si>
    <t xml:space="preserve">Reator para VS 400W, AFP corrigido, 220V, 60Hz EXTERNO </t>
  </si>
  <si>
    <t>Reator para vapor metálico 400W,AFP corrigido, 220V, 60Hz EXTERNO</t>
  </si>
  <si>
    <t>INDUSPAR</t>
  </si>
  <si>
    <t>Braço de ferro galvanizado com 48mm X 3m de comprimento .</t>
  </si>
  <si>
    <t>MERCADO LIVRE</t>
  </si>
  <si>
    <t>COM. MATERIAIS G e C ILUMINI</t>
  </si>
  <si>
    <t>Base para relé Foto-elétrico. EXATRON</t>
  </si>
  <si>
    <t xml:space="preserve">Poste  de concreto circular 15/200 KGF. </t>
  </si>
  <si>
    <t>MATPAR</t>
  </si>
  <si>
    <t>CIBE (PRIMAVERA)</t>
  </si>
  <si>
    <t>CONCRENORT</t>
  </si>
  <si>
    <t>Poste concreto DT  11/200 KGF</t>
  </si>
  <si>
    <t>CONCRELEI</t>
  </si>
  <si>
    <t>Poste concreto DT  11/300 KGF</t>
  </si>
  <si>
    <t>Poste concreto DT  11/600 KGF</t>
  </si>
  <si>
    <t>Luminária de alumínio com alojamento para equipamentos auxiliares com tampa de vidro temperado  com receptáculo de louça E40</t>
  </si>
  <si>
    <t>ELETRICA ZAN</t>
  </si>
  <si>
    <t xml:space="preserve">Luminária de LED   40 W </t>
  </si>
  <si>
    <t>FORTLIGHT</t>
  </si>
  <si>
    <t>ILUMATIC</t>
  </si>
  <si>
    <t>Luminária de LED  100 W</t>
  </si>
  <si>
    <t>Luminária de LED  150 W</t>
  </si>
  <si>
    <t>Chave Contactora de 40A (TIWA)</t>
  </si>
  <si>
    <t>Chave Contactora de 50A (TIWA)</t>
  </si>
  <si>
    <t>Reator Vapor de Sódio, AFP 150W  uso Interno</t>
  </si>
  <si>
    <t>Reator Vapor Metálico, AFP 150W  uso Interno</t>
  </si>
  <si>
    <t>Reator Vapor de Sódio, AFP 250W  uso Interno</t>
  </si>
  <si>
    <t>Reator Vapor Metálico, AFP 250W  uso Interno</t>
  </si>
  <si>
    <t>Reator Vapor Metálico AFP 400W  uso Interno</t>
  </si>
  <si>
    <t>Reator Vapor Metálico, AFP 2000W  uso Externo.</t>
  </si>
  <si>
    <t>Padrão Trifásico com proteção de  45A a 6OA</t>
  </si>
  <si>
    <t>Conector Perfurante CDP-70</t>
  </si>
  <si>
    <t>INTELLI</t>
  </si>
  <si>
    <t>Lâmpada Vapor Metálico 2.000 Watts</t>
  </si>
  <si>
    <t>POLO</t>
  </si>
  <si>
    <t>ELÉTRICA ZAN</t>
  </si>
  <si>
    <t xml:space="preserve">Lâmpada Tubular de descarga a alta pressão de Vapor de Sódio ou Metálica, 70W,Base E27  </t>
  </si>
  <si>
    <t>Reator para VS ou VM 70W, FP corrigido, 220V, 60Hz - EXTERNO</t>
  </si>
  <si>
    <t>PÇ</t>
  </si>
  <si>
    <t>FORNECIMENTO E INSTALAÇÃO DE REATOR EXTERNO  VAPOR METÁLICO DE 70Watts</t>
  </si>
  <si>
    <t>1.0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</si>
  <si>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</si>
  <si>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</si>
  <si>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</si>
  <si>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</si>
  <si>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</si>
  <si>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</si>
  <si>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</si>
  <si>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</si>
  <si>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</si>
  <si>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</si>
  <si>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</si>
  <si>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</si>
  <si>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</si>
  <si>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</si>
  <si>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</si>
  <si>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</si>
  <si>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</si>
  <si>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</si>
  <si>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</si>
  <si>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</si>
  <si>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</si>
  <si>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</si>
  <si>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</si>
  <si>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1.30</t>
  </si>
  <si>
    <t>REATOR VAPOR METÁLICO 70 WATTS</t>
  </si>
  <si>
    <t>TOTAL DE SERVIÇOS JARDIM LUCIANA</t>
  </si>
  <si>
    <t>AVENIDA ÂNGELO RAVANELO</t>
  </si>
  <si>
    <t>FORNECIMENTO E INSTALAÇÃO DE LUMINÁRIA EM LED PARA ILUMINAÇÃO PÚBLICA,100W,LED AC, LENTES POLICARBONATO,CORPO EM ALUMÍNIO INJ, 220V, FP0,97, PROT. DPS 10KV, IP65, IK10, TEMP. COR 5700K, IRC= OU 70%, V. ÚTIL 50.000H, 110LM/W, LM79, GAR.5 ANOS, MODELO GL316 G-LIGHT OU SIMILAR</t>
  </si>
  <si>
    <t>SERVIÇOS ELÉTRICOS</t>
  </si>
  <si>
    <t>3.0</t>
  </si>
  <si>
    <t>TROCA DE LUMINÁRIAS EM POSTES TELECÔNICOS DUPLOS EM CANTERIO CENTRAL</t>
  </si>
  <si>
    <t>TOTAL AVENIDA ÂNGELO RAVANELO</t>
  </si>
  <si>
    <t>COHABINHA</t>
  </si>
  <si>
    <t>SERVIOS ELÉTRICOS</t>
  </si>
  <si>
    <t>4.0</t>
  </si>
  <si>
    <t>4.1</t>
  </si>
  <si>
    <t>4.1.1</t>
  </si>
  <si>
    <t>SUBSTITUIÇÃO DE LÂMPADAS E REATORES VAPOR DE SÓDIO POR VAPOR METÁLICO</t>
  </si>
  <si>
    <t>FORNECIMENTO E INSTALÇAO DE LÂMPADA VAPOR METÁLICO 70 WATTS</t>
  </si>
  <si>
    <t>FORNECIMENTO E INSTALÇAO DE REATOR  VAPOR METÁLICO 70 WATTS</t>
  </si>
  <si>
    <t>TOTAL DA COHABINHA</t>
  </si>
  <si>
    <t xml:space="preserve"> -   </t>
  </si>
  <si>
    <t>LUMINÁRIA EM LED PARA ILUMINAÇÃO PÚBLICA, 40W, BIVOLT</t>
  </si>
  <si>
    <t xml:space="preserve">FORNECIMENTO E INSTALAÇÃO  DE LUMINÁRIA EM LED PARA ILUMINAÇÃO PÚBLICA, 40W, BIVOLT, LENTES POLICARBONATO, CORPO EM ALUMÍNIO INJ, FP 0,95, PROT. DPS 10KV, IP66, IK09, TEMP. COR 5000K, IRC= OU 70%, V. ÚTIL 50.000H, 130 LM/W. FLUXO TOTAL MÍNIMO 6.500LM. GAR. 5 ANOS, MODELO GL216 G-LIGHT,  MODELO  LPL Ares III MINI ILUMATIC OU EQUIVALENTE/SIMILAR </t>
  </si>
  <si>
    <t>TROCA DE LUMINÁRIAS 70 W VS EM BRAÇOS DA REDE DE ILUMINAÇÃO PÚBLICA POR LUMINÁRIA LED DE 40W</t>
  </si>
  <si>
    <t>TOTAL DO PRIMAVERA II</t>
  </si>
  <si>
    <t>PRIMAVERA II ( ENTRE AS RUAS GUIRATINGA E RUA SÃO PAULO( AVEIDA DO LAGO À RUA RIO DE JANEIRO)</t>
  </si>
  <si>
    <t>AVENIDA PRIMAVERA</t>
  </si>
  <si>
    <t>TROCA DE   LUMINÁRIAS COM LÂMPADAS E REATORES VAPOR DE SÓDIO DE 400W POR LUMINÁRIAS DE LED 150W</t>
  </si>
  <si>
    <t xml:space="preserve">LUMINÁRIA EM LED PARA ILUMINAÇÃO PÚBLICA,150W,LED </t>
  </si>
  <si>
    <t>TOTAL AVENIDA PRIMAVERA</t>
  </si>
  <si>
    <t>4.1.2</t>
  </si>
  <si>
    <t>4.1.3</t>
  </si>
  <si>
    <t>4.1.4</t>
  </si>
  <si>
    <t>5.0</t>
  </si>
  <si>
    <t>5.1</t>
  </si>
  <si>
    <t>5.1.1</t>
  </si>
  <si>
    <t>5.1.2</t>
  </si>
  <si>
    <t>5.1.3</t>
  </si>
  <si>
    <t>6.1</t>
  </si>
  <si>
    <t>BRAÇO TUBULAR EM AÇO GALVANIZADO A QUENTE COM  3,0m   COMPRIMENTO  SEM SAPATA</t>
  </si>
  <si>
    <t>BRAÇO TUBULAR EM AÇO GALVANIZADO A QUENTE COM  COMPRIMENTO  x 48mm x 3,00mm +/- 0,5mm DE ESPESSURA,  - FORNECIMENTO E INSTALACÃO</t>
  </si>
  <si>
    <t>PARAFUSO  TIPO MÁQUINA 300 X</t>
  </si>
  <si>
    <t xml:space="preserve">ARRUELA QUADRADA EM AÇO GALVANIZADO DIMENSÃO =38MM ESPEÇORA 3,0 </t>
  </si>
  <si>
    <t>DIVERSAS LOCALIDADES</t>
  </si>
  <si>
    <t>IMPLANTAÇÃO DE BRAÇOS DE FERRO GALVANIADOS A FOGO COM 3,0M DE COMPRIMENTOO</t>
  </si>
  <si>
    <t xml:space="preserve">PÇ </t>
  </si>
  <si>
    <t>TOTAL DE BRAÇOS DE FERRO</t>
  </si>
  <si>
    <t xml:space="preserve">BRAÇO TUBULAR EM AÇO GALVANIZADO A QUENTE COM  3,0m   COMPRIMENTO  x 48mm x 3,00mm +/- 0,5mm DE ESPESSURA, </t>
  </si>
  <si>
    <t>7.1</t>
  </si>
  <si>
    <t>SUPORTE DE 2 PÉTALAS PARA INSTALAÇÃO DE LUMINÁRIAS EM TOPO DE POSTE DE CONCRETO DIANMETRO = 114,30MM - FORNECIMENTO E INSTALAÇÃO</t>
  </si>
  <si>
    <t>TOTAL DE BASE PARA RELÊ</t>
  </si>
  <si>
    <t xml:space="preserve"> TOTAL  DE RELÊS</t>
  </si>
  <si>
    <t>BASE PARA RELE  - FORNECIMENTO E INSTALACAO</t>
  </si>
  <si>
    <t>BASE PARA RELE</t>
  </si>
  <si>
    <t xml:space="preserve"> BASES PARA RELE  ( FORNECIMENTO E INSTALÇAÕ) </t>
  </si>
  <si>
    <t>RELE FOTOELETRICO P/ COMANDO DE ILUMINACAO EXTERNA 220V/1000W  - FORNECIMENTO E INSTALACAO</t>
  </si>
  <si>
    <t>7.1.1</t>
  </si>
  <si>
    <t>7.1.2</t>
  </si>
  <si>
    <t>COMOSIÇÃO</t>
  </si>
  <si>
    <t>7.1.4</t>
  </si>
  <si>
    <t>SUPORTE DE 2 PÉTALAS PARA INSTALAÇÃO DE LUMINÁRIAS EM TOPO DE POSTE DE CONCRETO  DIANMETRO = 114,30MM.</t>
  </si>
  <si>
    <t>TOTAL DOS SUPORTES</t>
  </si>
  <si>
    <t>7.1.5</t>
  </si>
  <si>
    <t>TOTAL DA FITA ISOLANTE AUTO FUSÃO</t>
  </si>
  <si>
    <t>FITA ISOLANTE COMUM</t>
  </si>
  <si>
    <t>TOTAL DA FITA ISOLANTE COMUM</t>
  </si>
  <si>
    <t>7.1.6</t>
  </si>
  <si>
    <t>7.1.7</t>
  </si>
  <si>
    <t>CONECTOR BIMETALICO TIPO UC 25</t>
  </si>
  <si>
    <t>CONECTOR PERFURANTE</t>
  </si>
  <si>
    <t>CONECTOR  BIMETÁLICO TIPO  UC 25  - PARA CABO DE ALUMÍNIO - FORNECIMENTO E INSTALACAO</t>
  </si>
  <si>
    <t>TOTAL CONECTOR UC 25</t>
  </si>
  <si>
    <t>TOTAL CONECTOR PERFURANTE</t>
  </si>
  <si>
    <t xml:space="preserve">COTAÇÃO </t>
  </si>
  <si>
    <t>LOCAL</t>
  </si>
  <si>
    <t>120dias</t>
  </si>
  <si>
    <t>150dias</t>
  </si>
  <si>
    <t>180dias</t>
  </si>
  <si>
    <t>210dias</t>
  </si>
  <si>
    <t>240dias</t>
  </si>
  <si>
    <t>270dias</t>
  </si>
  <si>
    <t>300dias</t>
  </si>
  <si>
    <t>330dias</t>
  </si>
  <si>
    <t>360dias</t>
  </si>
  <si>
    <t>390dias</t>
  </si>
  <si>
    <t>420dias</t>
  </si>
  <si>
    <t>450dias</t>
  </si>
  <si>
    <t>480dias</t>
  </si>
  <si>
    <t>510dias</t>
  </si>
  <si>
    <t>540dias</t>
  </si>
  <si>
    <t>570dias</t>
  </si>
  <si>
    <t>A</t>
  </si>
  <si>
    <t>DESEMBOLSO MENSAL COM BDI</t>
  </si>
  <si>
    <t>DESEMBOLSO ACUMULADO COM BDI</t>
  </si>
  <si>
    <t>SUBSTITUIÇÃO DE LUMINÁRIAS</t>
  </si>
  <si>
    <t>TOTAL DAS DIVERSAS LOCALIDADES</t>
  </si>
  <si>
    <t>CRONOGRAMA  FINANCEIRO</t>
  </si>
  <si>
    <t>AVENIDA SÃO SEBASTIÃO</t>
  </si>
  <si>
    <t>PRAÇA DO PRIMAVERA III</t>
  </si>
  <si>
    <t>PRAÇA DA CASTELÂNDIA</t>
  </si>
  <si>
    <t>DISTRITO INDUSTRIAL JOSÉ ALENCAR</t>
  </si>
  <si>
    <t>DISTRITO INDUSTRIAL NOVO</t>
  </si>
  <si>
    <t>CRONOGRAMA  FÍSICO</t>
  </si>
  <si>
    <t>RESUMO DAS OBRAS</t>
  </si>
  <si>
    <t>OBRA: MELHORIA, MODERNIZAÇÃO E IMPLANTAÇÃO DO SISTEMA DE ILUMINAÇÃO  COM LUMINÁRIAS LED</t>
  </si>
  <si>
    <t>1.31</t>
  </si>
  <si>
    <t>Braço de ferro galvanizado com 48mm X 3m de comprimento tipo asa de borboleta  .</t>
  </si>
  <si>
    <t>CUSTO UNITÁRIO LICITADO</t>
  </si>
  <si>
    <t>Custo   Serv.</t>
  </si>
  <si>
    <t>Total  (R$)</t>
  </si>
  <si>
    <t>M²</t>
  </si>
  <si>
    <t>M³ DE VALA P/ ELETRODUTOS</t>
  </si>
  <si>
    <t>TOTAL M³</t>
  </si>
  <si>
    <t>M³ DE CAVA P/ POSTES</t>
  </si>
  <si>
    <t>QTD</t>
  </si>
  <si>
    <t>LARGURA (m)</t>
  </si>
  <si>
    <t>2.2</t>
  </si>
  <si>
    <t>COMPRIMENTO (m)</t>
  </si>
  <si>
    <t>2.3</t>
  </si>
  <si>
    <t>PROFUNDIDADE (m)</t>
  </si>
  <si>
    <t>2.4</t>
  </si>
  <si>
    <t>2.5</t>
  </si>
  <si>
    <t>TOTAL DE VALA (m³)</t>
  </si>
  <si>
    <t>2.6</t>
  </si>
  <si>
    <t>2.7</t>
  </si>
  <si>
    <t>2.8</t>
  </si>
  <si>
    <t>TUBOS 1 1/4" AÇO GAVANIZADO</t>
  </si>
  <si>
    <t>QUADRO DE COMANDO PARA CAIXA DE PASSAGEM</t>
  </si>
  <si>
    <t>CIRCUITOS EM TRAVESSIAS DE RUAS</t>
  </si>
  <si>
    <t>2.9</t>
  </si>
  <si>
    <t>64 METROS</t>
  </si>
  <si>
    <t>24 METROS</t>
  </si>
  <si>
    <t>2.10</t>
  </si>
  <si>
    <t>SUB TOTAL SERVIÇOS EM TERRA/ESTRUTURAIS</t>
  </si>
  <si>
    <t>3.2</t>
  </si>
  <si>
    <t>3.3</t>
  </si>
  <si>
    <t>3.4</t>
  </si>
  <si>
    <t>3.5</t>
  </si>
  <si>
    <t>3.6</t>
  </si>
  <si>
    <t>3.7</t>
  </si>
  <si>
    <t>3.8</t>
  </si>
  <si>
    <t>3.9</t>
  </si>
  <si>
    <t>SUB TOTAL ILUMINAÇÃO PÚBLICA ORNAMENTAL</t>
  </si>
  <si>
    <t>TOTAL DAS OBRAS  SEM BDI:</t>
  </si>
  <si>
    <t>BENEFÍCIOS DE DESPESAS INDIRETAS - ( B.D.I.: 24,90 %)</t>
  </si>
  <si>
    <t>TOTAL GERAL DAS OBRAS COM BDI</t>
  </si>
  <si>
    <t>BDI ADOTADO: 24,90%</t>
  </si>
  <si>
    <t>OBRA: IMPLANTAÇÃO DE ILUMINAÇÃO PÚBLICA DO TIPO ORNAMENTAL.</t>
  </si>
  <si>
    <t>LOCAL: AVENIDA SÃO SEBASTIÃO</t>
  </si>
  <si>
    <t>CIDADE : MUNICÍPIO PRIMA VERA DO LESTE - MT</t>
  </si>
  <si>
    <t>COMPOSIÇÃO UNITÁRIA</t>
  </si>
  <si>
    <t>CLASSE/TIPO</t>
  </si>
  <si>
    <t xml:space="preserve">CÓD. </t>
  </si>
  <si>
    <t>DISCRIMINAÇÃO DOS SERVIÇOS</t>
  </si>
  <si>
    <t>QUANT.</t>
  </si>
  <si>
    <t>UNITÁRIO</t>
  </si>
  <si>
    <t>MÃO DE OBRA</t>
  </si>
  <si>
    <t>SERVIÇOS EM TERRA/ESTRUTURAIS</t>
  </si>
  <si>
    <t>MOVT</t>
  </si>
  <si>
    <t>93358</t>
  </si>
  <si>
    <t>ESCAVAÇÃO MANUAL DE VALA COM PROFUNDIDADE MENOR OU IGUAL A 1,30 M. AF_03/2016</t>
  </si>
  <si>
    <t>REATERRO MANUAL APILOADO COM SOQUETE. AF_10/2017</t>
  </si>
  <si>
    <t>FUES</t>
  </si>
  <si>
    <t>CONCRETO FCK = 15MPA, TRAÇO 1:3,4:3,5 (CIMENTO/ AREIA MÉDIA/ BRITA 1) - PREPARO MANUAL. AF_07/2016 (PARA BASES DOS POSTES)</t>
  </si>
  <si>
    <t>AREIA MEDIA - POSTO JAZIDA/FORNECEDOR (RETIRADO NA JAZIDA, SEM TRANSPORTE)</t>
  </si>
  <si>
    <t>1379</t>
  </si>
  <si>
    <t>CIMENTO PORTLAND COMPOSTO CP II-32</t>
  </si>
  <si>
    <t>4721</t>
  </si>
  <si>
    <t>PEDRA BRITADA N. 1 (9,5 a 19 MM) POSTO PEDREIRA/FORNECEDOR, SEM FRETE</t>
  </si>
  <si>
    <t xml:space="preserve">74157/004 </t>
  </si>
  <si>
    <t>LANCAMENTO/APLICACAO MANUAL DE CONCRETO EM FUNDACOES</t>
  </si>
  <si>
    <t>M³</t>
  </si>
  <si>
    <t>PEDREIRO COM ENCARGOS COMPLEMENTARES</t>
  </si>
  <si>
    <t>90586</t>
  </si>
  <si>
    <t>VIBRADOR DE IMERSÃO, DIÂMETRO DE PONTEIRA 45MM, MOTOR ELÉTRICO TRIFÁSICO POTÊNCIA DE 2 CV - CHP DIURNO. AF_06/2015</t>
  </si>
  <si>
    <t>COMPOSIÇÃO 02</t>
  </si>
  <si>
    <t>ELETRODUTO PVC FLEXÍVEL CORRUGADO, DN 25 MM (1"), PARA CIRCUITOS TERMINAIS, INSTALADO EM SOLO - FORNECIMENTO E INSTALAÇÃO.</t>
  </si>
  <si>
    <t>ELETRODUTO PVC FLEXIVEL CORRUGADO, COR AMARELA, DE 25 MM</t>
  </si>
  <si>
    <t>COMPOSIÇÃO REFERÊNCIA: SINAPI - 91844</t>
  </si>
  <si>
    <t>COMPOSIÇÃO 03</t>
  </si>
  <si>
    <t>ELETRODUTODUTO PEAD FLEXIVEL PAREDE SIMPLES, CORRUGACAO HELICOIDAL, CORPRETA, SEM ROSCA, DE 1 1/4", PARA CABEAMENTO SUBTERRANEO (NBR 15715)</t>
  </si>
  <si>
    <t>ELETRODUTO/DUTO PEAD FLEXIVEL PAREDE SIMPLES, CORRUGACAO HELICOIDAL, COR PRETA, SEM ROSCA, DE 1 1/4",  PARA CABEAMENTO SUBTERRANEO (NBR 15715)</t>
  </si>
  <si>
    <t>COMPOSIÇÃO REFERÊNCIA: SINAPI - 73798/001</t>
  </si>
  <si>
    <t>NÃO AFERIDA</t>
  </si>
  <si>
    <t>83446</t>
  </si>
  <si>
    <t>CAIXA DE PASSAGEM 30X30X40 COM TAMPA E DRENO BRITA</t>
  </si>
  <si>
    <t>39</t>
  </si>
  <si>
    <t>ACO CA-60, 5,0 MM, VERGALHAO</t>
  </si>
  <si>
    <t>370</t>
  </si>
  <si>
    <t>1106</t>
  </si>
  <si>
    <t>CAL HIDRATADA CH-I PARA ARGAMASSAS</t>
  </si>
  <si>
    <t>1358</t>
  </si>
  <si>
    <t>CHAPA DE MADEIRA COMPENSADA RESINADA PARA FORMA DE CONCRETO, DE *2,2 X 1,1* M, E = 17 MM</t>
  </si>
  <si>
    <t>4722</t>
  </si>
  <si>
    <t>PEDRA BRITADA N. 3 (38 A 50 MM) POSTO PEDREIRA/FORNECEDOR, SEM FRETE</t>
  </si>
  <si>
    <t>7258</t>
  </si>
  <si>
    <t>TIJOLO CERAMICO MACICO *5 X 10 X 20* CM</t>
  </si>
  <si>
    <t>88309</t>
  </si>
  <si>
    <t>INHI</t>
  </si>
  <si>
    <t>TUBO DE AÇO GALVANIZADO COM COSTURA, CLASSE MÉDIA, DN 32 (1 1/4"), CONEXÃO ROSQUEADA, INSTALADO EM REDE DE ALIMENTAÇÃO PARA HIDRANTE - FORNECIMENTO E INSTALAÇÃO. AF_12/2015</t>
  </si>
  <si>
    <t>AUXILIAR DE ENCANADOR OU BOMBEIRO HIDRÁULICO COM ENCARGOS COMPLEMENTARES</t>
  </si>
  <si>
    <t>ENCANADOR OU BOMBEIRO HIDRÁULICO COM ENCARGOS COMPLEMENTARES</t>
  </si>
  <si>
    <t>TUBO ACO GALVANIZADO COM COSTURA, CLASSE MEDIA, DN 1.1/4", E = *3,25* MM, PESO *3,14* KG/M (NBR 5580)</t>
  </si>
  <si>
    <t>CURVA 90 GRAUS PARA ELETRODUTO, PVC, ROSCÁVEL, DN 40 MM (1 1/4"), PARA CIRCUITOS TERMINAIS, INSTALADA EM FORRO - FORNECIMENTO E INSTALAÇÃO.</t>
  </si>
  <si>
    <t>88248</t>
  </si>
  <si>
    <t>CURVA 90 GRAUS, LONGA, DE PVC RIGIDO ROSCAVEL, DE 1 1/4", PARA ELETRODUTO</t>
  </si>
  <si>
    <t>LUVA PARA ELETRODUTO, PVC, ROSCÁVEL, DN 40 MM (1 1/4"), PARA CIRCUITOS TERMINAIS, INSTALADA EM FORRO - FORNECIMENTO E INSTALAÇÃO. AF_12/2015</t>
  </si>
  <si>
    <t>LUVA PARA ELETRODUTO, PVC, ROSCÁVEL, DN 40 MM (1 1/4"), PARA CIRCUITOS TERMINAIS, INSTALADA EM LAJE - FORNECIMENTO E INSTALAÇÃO. AF_12/2015.</t>
  </si>
  <si>
    <t>ILUMINAÇÃO PÚBLICA ORNAMENTAL</t>
  </si>
  <si>
    <t>COMPOSIÇAO 04</t>
  </si>
  <si>
    <t>BRAÇO ORNAMENTAL TIPO ASA DE BORBOLETA DIÂMETRO PROJ=2400MM E ENCAIXE DA LUMINÁRIA = 48,00MM (MODELO PHOENIX I)</t>
  </si>
  <si>
    <t>LANÇAMENTO COM USO DE BALDES, ADENSAMENTO E ACABAMENTO DE CONCRETO EM ESTRUTURAS. AF_12/2015</t>
  </si>
  <si>
    <t>CONCRETO FCK = 15MPA, TRAÇO 1:3,4:3,5 (CIMENTO/ AREIA MÉDIA/ BRITA 1)  - PREPARO MECÂNICO COM BETONEIRA 600 L. AF_07/2016</t>
  </si>
  <si>
    <t>COMPOSIÇÃO REFERENCIA: 73769/004</t>
  </si>
  <si>
    <t>COMPOSIÇAO 05</t>
  </si>
  <si>
    <t>LUMINÁRIA EM LED PARA ILUMINAÇÃO PÚBLICA, 100W, LED AC, LENTES DE MATERIAL PMMA, CORPO EM ALUMÍNIO INJ, 220V +/-10%, FP0,95, IP66, IK08, TEMP. COR 5000K, IRC &gt; 70%, V. ÚTIL 70.000H, FLUXO LUMINOSO 11.407,4 LM, TOMADA PARA RELÉ FOTOELÉTRICO,  MODELO LPL ARES VI MIDI (ILUMATIC) OU SIMILAR - FORNECIMENTO E INSTALAÇÃO.</t>
  </si>
  <si>
    <t>LUMINÁRIA EM LED PARA ILUMINAÇÃO PÚBLICA, 100W, BIVOLT, SELO A INMETRO, CORPO EM ALUMÍNIO INJ, FP 0,95, PROT. DPS 10kV, IP66, IK09, TEMP. COR 5000K, IRC= OU 70%, V. ÚTIL 50.000H, 130LM/W. GAR. 5 ANOS, MODELO GL216 G-LIGTHT OU SIMILAR.</t>
  </si>
  <si>
    <t>COMPOSIÇÃO REFERENCIA: 74231/001</t>
  </si>
  <si>
    <t>02.INEL.ELE1.050/01</t>
  </si>
  <si>
    <t>91926</t>
  </si>
  <si>
    <t>CABO DE COBRE FLEXÍVEL ISOLADO, 2,5 MM², ANTI-CHAMA 450/750 V, PARA CIRCUITOS TERMINAIS - FORNECIMENTO E INSTALAÇÃO. AF_12/2015</t>
  </si>
  <si>
    <t>1014</t>
  </si>
  <si>
    <t>CABO DE COBRE, FLEXIVEL, CLASSE 4 OU 5, ISOLACAO EM PVC/A, ANTICHAMA BWF-B, 1 CONDUTOR, 450/750 V, SECAO NOMINAL 2,5 MM2</t>
  </si>
  <si>
    <t>02.INEL.ELE1.051/02</t>
  </si>
  <si>
    <t>91929</t>
  </si>
  <si>
    <t>CABO DE COBRE FLEXÍVEL ISOLADO, 4 MM², ANTI-CHAMA 0,6/1,0 KV, PARA CIRCUITOS TERMINAIS - FORNECIMENTO E INSTALAÇÃO. AF_12/2015</t>
  </si>
  <si>
    <t>1021</t>
  </si>
  <si>
    <t>CABO DE COBRE, FLEXIVEL, CLASSE 4 OU 5, ISOLACAO EM PVC/A, ANTICHAMA BWF-B, COBERTURA PVC-ST1, ANTICHAMA BWF-B, 1 CONDUTOR, 0,6/1 KV, SECAO NOMINAL 4 MM2</t>
  </si>
  <si>
    <t>02.INEL.ELE1.052/02</t>
  </si>
  <si>
    <t>91931</t>
  </si>
  <si>
    <t>CABO DE COBRE FLEXÍVEL ISOLADO, 6 MM², ANTI-CHAMA 0,6/1,0 KV, PARA CIRCUITOS TERMINAIS - FORNECIMENTO E INSTALAÇÃO. AF_12/2015</t>
  </si>
  <si>
    <t>994</t>
  </si>
  <si>
    <t>CABO DE COBRE, FLEXIVEL, CLASSE 4 OU 5, ISOLACAO EM PVC/A, ANTICHAMA BWF-B, COBERTURA PVC-ST1, ANTICHAMA BWF-B, 1 CONDUTOR, 0,6/1 KV, SECAO NOMINAL 6 MM2</t>
  </si>
  <si>
    <t>21127</t>
  </si>
  <si>
    <t>COMPOSIÇAO 06</t>
  </si>
  <si>
    <t>QUADRO DE COMANDO EM GRUPO DE ILUMINAÇÃO PÚBLICA - FORNECIMENTO E MONTAGEM</t>
  </si>
  <si>
    <t>INSUMO/REF</t>
  </si>
  <si>
    <t>CAIXA PARA QUADRO DE COMANDOS COM PLACA DE MONTAGEM DE EQUIPAMENTOS COM PINTURA ELETROSTÁTICA BEGE NAS DIMENSÕES 500X400X200MM</t>
  </si>
  <si>
    <t>CONTATOR TRIPOLAR, CORRENTE DE 12 A, TENSAO NOMINAL DE *500* V, CATEGORIA AC-2 E AC-3</t>
  </si>
  <si>
    <t>DISJUNTOR TIPO DIN/IEC, BIPOLAR DE 2 A</t>
  </si>
  <si>
    <t>DISJUNTOR TIPO DIN/IEC, BIPOLAR 40 A</t>
  </si>
  <si>
    <t>RELE FOTOELETRICO INTERNO E EXTERNO BIVOLT 1000 W, DE CONECTOR, SEM BASE</t>
  </si>
  <si>
    <t>BASE PARA RELE COM SUPORTE METALICO</t>
  </si>
  <si>
    <t>BASE UNIPOLAR PARA FUSIVEL NH1, CORRENTE NOMINAL DE 250 A, SEM CAPA</t>
  </si>
  <si>
    <t>FUSIVEL NH 10 AMPERES, TAMANHO 00, CAPACIDADE DE INTERRUPCAO DE 120 KA, TENSAO NOMIMNAL DE 500 V</t>
  </si>
  <si>
    <t>CURVA DE FERRO GALVANIZADO DE 90º X 1 1/4"</t>
  </si>
  <si>
    <t>TERMINAL A COMPRESSAO EM COBRE ESTANHADO PARA CABO 10 MM2, 1 FURO E 1 COMPRESSAO, PARA PARAFUSO DE FIXACAO M6</t>
  </si>
  <si>
    <t>COMPOSIÇÃO REFERENCIA: PRÓPRIA</t>
  </si>
  <si>
    <t>96985</t>
  </si>
  <si>
    <t>HASTE DE ATERRAMENTO 5/8  PARA SPDA - FORNECIMENTO E INSTALAÇÃO. AF_12/2017</t>
  </si>
  <si>
    <t>3379</t>
  </si>
  <si>
    <t xml:space="preserve"> HASTE DE ATERRAMENTO EM ACO COM 3,00 M DE COMPRIMENTO E DN = 5/8", REVESTIDA COM BAIXA CAMADA DE COBRE, SEM CONECTOR</t>
  </si>
  <si>
    <t>COMPOSIÇAO 07</t>
  </si>
  <si>
    <t>CONECTOR PARAFUSO FENDIDO SPLIT-BOLT - PARA CABO DE 16MM2 - FORNECIMENTO E INSTALAÇÃO</t>
  </si>
  <si>
    <t>CONECTOR METALICO TIPO PARAFUSO FENDIDO (SPLIT BOLT), PARA CABOS ATE 10 MM2</t>
  </si>
  <si>
    <t>COMPOSIÇÃO REFERENCIA: 72271</t>
  </si>
  <si>
    <t>COMPOSIÇAO 08</t>
  </si>
  <si>
    <t>GRAMPO METALICO TIPO OLHAL PARA HASTE DE ATERRAMENTO DE 5/8'', CONDUTOR DE *10* A 50 MM2.</t>
  </si>
  <si>
    <t>PRAÇA  ELDORADO</t>
  </si>
  <si>
    <t>PRAÇA DO CASTELÂNDIA</t>
  </si>
  <si>
    <t>BDI 24,90%</t>
  </si>
  <si>
    <t>BASE DE PREÇO SINAPI-MT-2/2019 - ORSE DEZ/2018-1</t>
  </si>
  <si>
    <t>02588/ORSE</t>
  </si>
  <si>
    <t>FITA ISOLANTE ADESIVA ANTICHAMA, USO ATE 750 V, EM ROLO DE 19 MM X 20 M - FORNECIMENTO E APLICAÇÃO</t>
  </si>
  <si>
    <t>Conector paralelo Bimetálico UC 25</t>
  </si>
  <si>
    <t>CONECTOR DE DERIVAÇÃO PERFURANTE PARA CABO PROTEGIDO PRINCIPAL 1,5-10MM - DERIVAÇÃO 10-95MM - FORNECIMENTO E INSTALACAO</t>
  </si>
  <si>
    <r>
      <t xml:space="preserve">VERIFICAÇÃO DO BDI - ACÓRDÃO 2.622/2013      </t>
    </r>
    <r>
      <rPr>
        <b/>
        <sz val="10"/>
        <rFont val="Times New Roman"/>
        <family val="1"/>
      </rPr>
      <t xml:space="preserve"> Rev 02</t>
    </r>
  </si>
  <si>
    <t>2.1.4</t>
  </si>
  <si>
    <t>2.1.5</t>
  </si>
  <si>
    <t>3.1.3</t>
  </si>
  <si>
    <t>6.1.1</t>
  </si>
  <si>
    <t>6.1.2</t>
  </si>
  <si>
    <t>6.1.3</t>
  </si>
  <si>
    <t>7.1.3</t>
  </si>
  <si>
    <t>PRAÇA ELDORADO</t>
  </si>
  <si>
    <t>BASE: SINAPI 02/2019 - SEM DESONERAÇÃO</t>
  </si>
  <si>
    <t>POSTE TELECÔNICO CONTINUO EM ACO GALVANIZADO, RETO, ENGASTADO, H = 9 M, DIAMETRO INFERIOR = *145* MM</t>
  </si>
  <si>
    <t>POSTE DE ACO TELECONICO CONTINUO RETO, ENGASTADO, H=9M,  COMPOSTO DE UM BRAÇO ORNAMENTAl TIPO ASA DE BORBOLETA MODELO PHOENIX I, FABRICADO EM TUBO DE AÇO GALVANIZADO, PROJ=2400,00MM PARA INSTALAÇÃO DE LUMINÁRIAS ENCAIXE D=48,00 MM DE CONFORMIDADE COM O PROJETO ANEXO - FORNECIMENTO E INSTALACAO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</si>
</sst>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[$-416]General"/>
    <numFmt numFmtId="166" formatCode="#,##0.00&quot; &quot;;&quot; (&quot;#,##0.00&quot;)&quot;;&quot; -&quot;#&quot; &quot;;&quot; &quot;@&quot; &quot;"/>
    <numFmt numFmtId="167" formatCode="_-* #,##0.00_-;\-* #,##0.00_-;_-* &quot;-&quot;?????_-;_-@_-"/>
    <numFmt numFmtId="168" formatCode="0.00000"/>
    <numFmt numFmtId="169" formatCode="0.000"/>
    <numFmt numFmtId="170" formatCode="0.0000"/>
    <numFmt numFmtId="171" formatCode="_-* #,##0.00000_-;\-* #,##0.00000_-;_-* &quot;-&quot;??_-;_-@_-"/>
    <numFmt numFmtId="172" formatCode="#,##0.00_ ;\-#,##0.00\ "/>
    <numFmt numFmtId="173" formatCode="0.000%"/>
    <numFmt numFmtId="174" formatCode="0.0%"/>
    <numFmt numFmtId="175" formatCode="_(&quot;R$ &quot;* #,##0.00_);_(&quot;R$ &quot;* \(#,##0.00\);_(&quot;R$ &quot;* &quot;-&quot;??_);_(@_)"/>
    <numFmt numFmtId="176" formatCode="[$€]#\!#0.00_);[Red]\([$€]#,##0.00\)"/>
    <numFmt numFmtId="177" formatCode="#,##0.000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1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3" tint="0.39997558519241921"/>
      <name val="Times New Roman"/>
      <family val="1"/>
    </font>
    <font>
      <sz val="10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8"/>
      <name val="Times New Roman"/>
      <family val="1"/>
    </font>
    <font>
      <sz val="10"/>
      <color rgb="FF1C1C1A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0"/>
      <color theme="0"/>
      <name val="Times New Roman"/>
      <family val="1"/>
    </font>
    <font>
      <sz val="7.5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auto="1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</borders>
  <cellStyleXfs count="170">
    <xf numFmtId="0" fontId="0" fillId="0" borderId="0"/>
    <xf numFmtId="166" fontId="7" fillId="0" borderId="0" applyBorder="0" applyProtection="0"/>
    <xf numFmtId="165" fontId="7" fillId="0" borderId="0" applyBorder="0" applyProtection="0"/>
    <xf numFmtId="0" fontId="6" fillId="0" borderId="0"/>
    <xf numFmtId="0" fontId="8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23" fillId="25" borderId="0" applyNumberFormat="0" applyBorder="0" applyAlignment="0" applyProtection="0"/>
    <xf numFmtId="0" fontId="23" fillId="3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2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28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14" fillId="8" borderId="0" applyNumberFormat="0" applyBorder="0" applyAlignment="0" applyProtection="0"/>
    <xf numFmtId="0" fontId="13" fillId="6" borderId="0" applyNumberFormat="0" applyBorder="0" applyAlignment="0" applyProtection="0"/>
    <xf numFmtId="0" fontId="25" fillId="30" borderId="1" applyNumberFormat="0" applyAlignment="0" applyProtection="0"/>
    <xf numFmtId="0" fontId="18" fillId="11" borderId="1" applyNumberFormat="0" applyAlignment="0" applyProtection="0"/>
    <xf numFmtId="0" fontId="20" fillId="12" borderId="2" applyNumberFormat="0" applyAlignment="0" applyProtection="0"/>
    <xf numFmtId="0" fontId="19" fillId="0" borderId="3" applyNumberFormat="0" applyFill="0" applyAlignment="0" applyProtection="0"/>
    <xf numFmtId="0" fontId="20" fillId="12" borderId="2" applyNumberFormat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6" fillId="7" borderId="1" applyNumberFormat="0" applyAlignment="0" applyProtection="0"/>
    <xf numFmtId="0" fontId="21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6" fillId="5" borderId="1" applyNumberFormat="0" applyAlignment="0" applyProtection="0"/>
    <xf numFmtId="0" fontId="29" fillId="0" borderId="20" applyNumberFormat="0" applyFill="0" applyAlignment="0" applyProtection="0"/>
    <xf numFmtId="0" fontId="15" fillId="7" borderId="0" applyNumberFormat="0" applyBorder="0" applyAlignment="0" applyProtection="0"/>
    <xf numFmtId="0" fontId="30" fillId="7" borderId="0" applyNumberFormat="0" applyBorder="0" applyAlignment="0" applyProtection="0"/>
    <xf numFmtId="0" fontId="6" fillId="4" borderId="4" applyNumberFormat="0" applyFont="0" applyAlignment="0" applyProtection="0"/>
    <xf numFmtId="0" fontId="5" fillId="4" borderId="4" applyNumberFormat="0" applyFont="0" applyAlignment="0" applyProtection="0"/>
    <xf numFmtId="0" fontId="17" fillId="30" borderId="5" applyNumberFormat="0" applyAlignment="0" applyProtection="0"/>
    <xf numFmtId="0" fontId="17" fillId="11" borderId="5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6" fillId="4" borderId="4" applyNumberFormat="0" applyFont="0" applyAlignment="0" applyProtection="0"/>
    <xf numFmtId="0" fontId="6" fillId="0" borderId="0"/>
    <xf numFmtId="0" fontId="6" fillId="4" borderId="4" applyNumberFormat="0" applyFont="0" applyAlignment="0" applyProtection="0"/>
    <xf numFmtId="0" fontId="6" fillId="0" borderId="0"/>
    <xf numFmtId="0" fontId="6" fillId="4" borderId="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30" borderId="46" applyNumberFormat="0" applyAlignment="0" applyProtection="0"/>
    <xf numFmtId="0" fontId="18" fillId="11" borderId="46" applyNumberFormat="0" applyAlignment="0" applyProtection="0"/>
    <xf numFmtId="0" fontId="16" fillId="7" borderId="46" applyNumberFormat="0" applyAlignment="0" applyProtection="0"/>
    <xf numFmtId="0" fontId="16" fillId="5" borderId="46" applyNumberFormat="0" applyAlignment="0" applyProtection="0"/>
    <xf numFmtId="0" fontId="6" fillId="4" borderId="47" applyNumberFormat="0" applyFont="0" applyAlignment="0" applyProtection="0"/>
    <xf numFmtId="0" fontId="5" fillId="4" borderId="47" applyNumberFormat="0" applyFont="0" applyAlignment="0" applyProtection="0"/>
    <xf numFmtId="0" fontId="17" fillId="30" borderId="48" applyNumberFormat="0" applyAlignment="0" applyProtection="0"/>
    <xf numFmtId="0" fontId="17" fillId="11" borderId="48" applyNumberFormat="0" applyAlignment="0" applyProtection="0"/>
    <xf numFmtId="0" fontId="22" fillId="0" borderId="49" applyNumberFormat="0" applyFill="0" applyAlignment="0" applyProtection="0"/>
    <xf numFmtId="0" fontId="6" fillId="4" borderId="47" applyNumberFormat="0" applyFont="0" applyAlignment="0" applyProtection="0"/>
    <xf numFmtId="0" fontId="6" fillId="4" borderId="47" applyNumberFormat="0" applyFont="0" applyAlignment="0" applyProtection="0"/>
    <xf numFmtId="0" fontId="6" fillId="4" borderId="47" applyNumberFormat="0" applyFont="0" applyAlignment="0" applyProtection="0"/>
    <xf numFmtId="0" fontId="1" fillId="0" borderId="0"/>
    <xf numFmtId="0" fontId="5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23" fillId="25" borderId="0" applyNumberFormat="0" applyBorder="0" applyAlignment="0" applyProtection="0"/>
    <xf numFmtId="0" fontId="23" fillId="3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27" borderId="0" applyNumberFormat="0" applyBorder="0" applyAlignment="0" applyProtection="0"/>
    <xf numFmtId="0" fontId="43" fillId="0" borderId="0"/>
    <xf numFmtId="0" fontId="42" fillId="37" borderId="0" applyNumberFormat="0" applyBorder="0" applyAlignment="0" applyProtection="0"/>
    <xf numFmtId="0" fontId="13" fillId="23" borderId="0" applyNumberFormat="0" applyBorder="0" applyAlignment="0" applyProtection="0"/>
    <xf numFmtId="0" fontId="25" fillId="30" borderId="46" applyNumberFormat="0" applyAlignment="0" applyProtection="0"/>
    <xf numFmtId="0" fontId="29" fillId="0" borderId="20" applyNumberFormat="0" applyFill="0" applyAlignment="0" applyProtection="0"/>
    <xf numFmtId="0" fontId="23" fillId="28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3" fillId="9" borderId="0" applyNumberFormat="0" applyBorder="0" applyAlignment="0" applyProtection="0"/>
    <xf numFmtId="0" fontId="16" fillId="5" borderId="46" applyNumberFormat="0" applyAlignment="0" applyProtection="0"/>
    <xf numFmtId="176" fontId="44" fillId="0" borderId="0" applyFont="0" applyFill="0" applyBorder="0" applyAlignment="0" applyProtection="0"/>
    <xf numFmtId="0" fontId="14" fillId="8" borderId="0" applyNumberFormat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30" fillId="7" borderId="0" applyNumberFormat="0" applyBorder="0" applyAlignment="0" applyProtection="0"/>
    <xf numFmtId="0" fontId="6" fillId="0" borderId="0"/>
    <xf numFmtId="0" fontId="5" fillId="4" borderId="47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30" borderId="48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764">
    <xf numFmtId="0" fontId="0" fillId="0" borderId="0" xfId="0"/>
    <xf numFmtId="4" fontId="33" fillId="20" borderId="0" xfId="4" applyNumberFormat="1" applyFont="1" applyFill="1" applyBorder="1" applyAlignment="1">
      <alignment vertical="center"/>
    </xf>
    <xf numFmtId="4" fontId="33" fillId="20" borderId="26" xfId="4" applyNumberFormat="1" applyFont="1" applyFill="1" applyBorder="1" applyAlignment="1">
      <alignment vertical="center"/>
    </xf>
    <xf numFmtId="0" fontId="33" fillId="20" borderId="45" xfId="0" applyFont="1" applyFill="1" applyBorder="1"/>
    <xf numFmtId="1" fontId="33" fillId="20" borderId="45" xfId="0" applyNumberFormat="1" applyFont="1" applyFill="1" applyBorder="1"/>
    <xf numFmtId="169" fontId="33" fillId="20" borderId="45" xfId="0" applyNumberFormat="1" applyFont="1" applyFill="1" applyBorder="1"/>
    <xf numFmtId="2" fontId="33" fillId="20" borderId="45" xfId="0" applyNumberFormat="1" applyFont="1" applyFill="1" applyBorder="1" applyAlignment="1">
      <alignment horizontal="right"/>
    </xf>
    <xf numFmtId="43" fontId="33" fillId="20" borderId="45" xfId="0" applyNumberFormat="1" applyFont="1" applyFill="1" applyBorder="1" applyAlignment="1">
      <alignment horizontal="right"/>
    </xf>
    <xf numFmtId="43" fontId="33" fillId="20" borderId="45" xfId="0" applyNumberFormat="1" applyFont="1" applyFill="1" applyBorder="1"/>
    <xf numFmtId="43" fontId="33" fillId="20" borderId="44" xfId="0" applyNumberFormat="1" applyFont="1" applyFill="1" applyBorder="1"/>
    <xf numFmtId="0" fontId="33" fillId="0" borderId="0" xfId="0" applyFont="1" applyFill="1"/>
    <xf numFmtId="4" fontId="33" fillId="20" borderId="22" xfId="4" applyNumberFormat="1" applyFont="1" applyFill="1" applyBorder="1" applyAlignment="1">
      <alignment vertical="center"/>
    </xf>
    <xf numFmtId="0" fontId="33" fillId="20" borderId="0" xfId="0" applyFont="1" applyFill="1" applyBorder="1"/>
    <xf numFmtId="4" fontId="33" fillId="20" borderId="0" xfId="4" applyNumberFormat="1" applyFont="1" applyFill="1" applyBorder="1" applyAlignment="1">
      <alignment vertical="center" wrapText="1"/>
    </xf>
    <xf numFmtId="169" fontId="33" fillId="20" borderId="0" xfId="4" applyNumberFormat="1" applyFont="1" applyFill="1" applyBorder="1" applyAlignment="1">
      <alignment vertical="center" wrapText="1"/>
    </xf>
    <xf numFmtId="2" fontId="33" fillId="20" borderId="0" xfId="4" applyNumberFormat="1" applyFont="1" applyFill="1" applyBorder="1" applyAlignment="1">
      <alignment horizontal="right" vertical="center" wrapText="1"/>
    </xf>
    <xf numFmtId="43" fontId="33" fillId="20" borderId="0" xfId="4" applyNumberFormat="1" applyFont="1" applyFill="1" applyBorder="1" applyAlignment="1">
      <alignment horizontal="right" vertical="center" wrapText="1"/>
    </xf>
    <xf numFmtId="4" fontId="33" fillId="20" borderId="23" xfId="4" applyNumberFormat="1" applyFont="1" applyFill="1" applyBorder="1" applyAlignment="1">
      <alignment vertical="center" wrapText="1"/>
    </xf>
    <xf numFmtId="169" fontId="33" fillId="20" borderId="0" xfId="4" applyNumberFormat="1" applyFont="1" applyFill="1" applyBorder="1" applyAlignment="1">
      <alignment vertical="center"/>
    </xf>
    <xf numFmtId="2" fontId="33" fillId="20" borderId="0" xfId="4" applyNumberFormat="1" applyFont="1" applyFill="1" applyBorder="1" applyAlignment="1">
      <alignment horizontal="right" vertical="center"/>
    </xf>
    <xf numFmtId="43" fontId="33" fillId="20" borderId="0" xfId="4" applyNumberFormat="1" applyFont="1" applyFill="1" applyBorder="1" applyAlignment="1">
      <alignment horizontal="right" vertical="center"/>
    </xf>
    <xf numFmtId="4" fontId="33" fillId="20" borderId="23" xfId="4" applyNumberFormat="1" applyFont="1" applyFill="1" applyBorder="1" applyAlignment="1">
      <alignment vertical="center"/>
    </xf>
    <xf numFmtId="0" fontId="33" fillId="20" borderId="22" xfId="0" applyFont="1" applyFill="1" applyBorder="1" applyAlignment="1">
      <alignment horizontal="left" vertical="center"/>
    </xf>
    <xf numFmtId="4" fontId="37" fillId="20" borderId="0" xfId="4" applyNumberFormat="1" applyFont="1" applyFill="1" applyBorder="1" applyAlignment="1">
      <alignment vertical="center" wrapText="1"/>
    </xf>
    <xf numFmtId="169" fontId="37" fillId="20" borderId="0" xfId="4" applyNumberFormat="1" applyFont="1" applyFill="1" applyBorder="1" applyAlignment="1">
      <alignment vertical="center" wrapText="1"/>
    </xf>
    <xf numFmtId="2" fontId="37" fillId="20" borderId="0" xfId="4" applyNumberFormat="1" applyFont="1" applyFill="1" applyBorder="1" applyAlignment="1">
      <alignment horizontal="right" vertical="center" wrapText="1"/>
    </xf>
    <xf numFmtId="43" fontId="33" fillId="20" borderId="0" xfId="0" applyNumberFormat="1" applyFont="1" applyFill="1" applyBorder="1" applyAlignment="1">
      <alignment horizontal="right"/>
    </xf>
    <xf numFmtId="43" fontId="33" fillId="20" borderId="0" xfId="0" applyNumberFormat="1" applyFont="1" applyFill="1" applyBorder="1"/>
    <xf numFmtId="43" fontId="33" fillId="20" borderId="23" xfId="0" applyNumberFormat="1" applyFont="1" applyFill="1" applyBorder="1"/>
    <xf numFmtId="0" fontId="33" fillId="20" borderId="39" xfId="0" applyFont="1" applyFill="1" applyBorder="1"/>
    <xf numFmtId="1" fontId="33" fillId="20" borderId="39" xfId="0" applyNumberFormat="1" applyFont="1" applyFill="1" applyBorder="1"/>
    <xf numFmtId="0" fontId="37" fillId="0" borderId="12" xfId="4" applyFont="1" applyFill="1" applyBorder="1" applyAlignment="1">
      <alignment horizontal="center" vertical="center" wrapText="1"/>
    </xf>
    <xf numFmtId="43" fontId="37" fillId="0" borderId="12" xfId="4" applyNumberFormat="1" applyFont="1" applyFill="1" applyBorder="1" applyAlignment="1">
      <alignment horizontal="right" vertical="center" wrapText="1"/>
    </xf>
    <xf numFmtId="43" fontId="37" fillId="0" borderId="12" xfId="4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2" fontId="33" fillId="0" borderId="0" xfId="0" applyNumberFormat="1" applyFont="1" applyFill="1" applyAlignment="1">
      <alignment horizontal="right"/>
    </xf>
    <xf numFmtId="0" fontId="37" fillId="0" borderId="0" xfId="4" applyFont="1" applyFill="1" applyBorder="1" applyAlignment="1">
      <alignment horizontal="center" vertical="center" wrapText="1"/>
    </xf>
    <xf numFmtId="1" fontId="37" fillId="0" borderId="0" xfId="4" applyNumberFormat="1" applyFont="1" applyFill="1" applyBorder="1" applyAlignment="1">
      <alignment horizontal="center" vertical="center" wrapText="1"/>
    </xf>
    <xf numFmtId="169" fontId="37" fillId="0" borderId="0" xfId="4" applyNumberFormat="1" applyFont="1" applyFill="1" applyBorder="1" applyAlignment="1">
      <alignment horizontal="center" vertical="center" wrapText="1"/>
    </xf>
    <xf numFmtId="2" fontId="37" fillId="0" borderId="0" xfId="4" applyNumberFormat="1" applyFont="1" applyFill="1" applyBorder="1" applyAlignment="1">
      <alignment horizontal="right" vertical="center" wrapText="1"/>
    </xf>
    <xf numFmtId="43" fontId="37" fillId="0" borderId="0" xfId="4" applyNumberFormat="1" applyFont="1" applyFill="1" applyBorder="1" applyAlignment="1">
      <alignment horizontal="right" vertical="center" wrapText="1"/>
    </xf>
    <xf numFmtId="43" fontId="37" fillId="0" borderId="0" xfId="4" applyNumberFormat="1" applyFont="1" applyFill="1" applyBorder="1" applyAlignment="1">
      <alignment horizontal="center" vertical="center" wrapText="1"/>
    </xf>
    <xf numFmtId="43" fontId="37" fillId="0" borderId="12" xfId="104" applyNumberFormat="1" applyFont="1" applyFill="1" applyBorder="1" applyAlignment="1">
      <alignment horizontal="right" vertical="center" wrapText="1"/>
    </xf>
    <xf numFmtId="43" fontId="37" fillId="0" borderId="12" xfId="104" applyNumberFormat="1" applyFont="1" applyFill="1" applyBorder="1" applyAlignment="1">
      <alignment horizontal="center" vertical="center" wrapText="1"/>
    </xf>
    <xf numFmtId="1" fontId="33" fillId="0" borderId="0" xfId="0" applyNumberFormat="1" applyFont="1" applyFill="1"/>
    <xf numFmtId="169" fontId="33" fillId="0" borderId="0" xfId="0" applyNumberFormat="1" applyFont="1" applyFill="1"/>
    <xf numFmtId="43" fontId="33" fillId="0" borderId="0" xfId="0" applyNumberFormat="1" applyFont="1" applyFill="1" applyAlignment="1">
      <alignment horizontal="right"/>
    </xf>
    <xf numFmtId="43" fontId="33" fillId="0" borderId="0" xfId="0" applyNumberFormat="1" applyFont="1" applyFill="1"/>
    <xf numFmtId="0" fontId="37" fillId="0" borderId="0" xfId="104" applyFont="1" applyFill="1" applyBorder="1" applyAlignment="1">
      <alignment horizontal="center" vertical="center" wrapText="1"/>
    </xf>
    <xf numFmtId="43" fontId="37" fillId="0" borderId="0" xfId="104" applyNumberFormat="1" applyFont="1" applyFill="1" applyBorder="1" applyAlignment="1">
      <alignment horizontal="center" vertical="center" wrapText="1"/>
    </xf>
    <xf numFmtId="0" fontId="37" fillId="0" borderId="12" xfId="104" applyFont="1" applyFill="1" applyBorder="1" applyAlignment="1">
      <alignment horizontal="center" vertical="center" wrapText="1"/>
    </xf>
    <xf numFmtId="169" fontId="37" fillId="0" borderId="12" xfId="104" applyNumberFormat="1" applyFont="1" applyFill="1" applyBorder="1" applyAlignment="1">
      <alignment horizontal="center" vertical="center" wrapText="1"/>
    </xf>
    <xf numFmtId="2" fontId="37" fillId="0" borderId="12" xfId="104" applyNumberFormat="1" applyFont="1" applyFill="1" applyBorder="1" applyAlignment="1">
      <alignment horizontal="right" vertical="center" wrapText="1"/>
    </xf>
    <xf numFmtId="1" fontId="37" fillId="0" borderId="12" xfId="104" applyNumberFormat="1" applyFont="1" applyFill="1" applyBorder="1" applyAlignment="1">
      <alignment horizontal="center" vertical="center" wrapText="1"/>
    </xf>
    <xf numFmtId="43" fontId="37" fillId="0" borderId="12" xfId="10" applyNumberFormat="1" applyFont="1" applyFill="1" applyBorder="1" applyAlignment="1" applyProtection="1">
      <alignment horizontal="right" vertical="center" wrapText="1"/>
      <protection locked="0"/>
    </xf>
    <xf numFmtId="1" fontId="37" fillId="0" borderId="0" xfId="104" applyNumberFormat="1" applyFont="1" applyFill="1" applyBorder="1" applyAlignment="1">
      <alignment horizontal="center" vertical="center" wrapText="1"/>
    </xf>
    <xf numFmtId="169" fontId="37" fillId="0" borderId="0" xfId="104" applyNumberFormat="1" applyFont="1" applyFill="1" applyBorder="1" applyAlignment="1">
      <alignment horizontal="center" vertical="center" wrapText="1"/>
    </xf>
    <xf numFmtId="2" fontId="37" fillId="0" borderId="0" xfId="104" applyNumberFormat="1" applyFont="1" applyFill="1" applyBorder="1" applyAlignment="1">
      <alignment horizontal="right" vertical="center" wrapText="1"/>
    </xf>
    <xf numFmtId="0" fontId="37" fillId="0" borderId="12" xfId="104" applyFont="1" applyFill="1" applyBorder="1" applyAlignment="1">
      <alignment horizontal="justify" vertical="center" wrapText="1"/>
    </xf>
    <xf numFmtId="0" fontId="33" fillId="20" borderId="45" xfId="0" applyFont="1" applyFill="1" applyBorder="1" applyAlignment="1">
      <alignment horizontal="justify"/>
    </xf>
    <xf numFmtId="4" fontId="33" fillId="20" borderId="0" xfId="4" applyNumberFormat="1" applyFont="1" applyFill="1" applyBorder="1" applyAlignment="1">
      <alignment horizontal="justify" vertical="center" wrapText="1"/>
    </xf>
    <xf numFmtId="4" fontId="33" fillId="20" borderId="0" xfId="4" applyNumberFormat="1" applyFont="1" applyFill="1" applyBorder="1" applyAlignment="1">
      <alignment horizontal="justify" vertical="center"/>
    </xf>
    <xf numFmtId="0" fontId="33" fillId="20" borderId="39" xfId="0" applyFont="1" applyFill="1" applyBorder="1" applyAlignment="1">
      <alignment horizontal="justify"/>
    </xf>
    <xf numFmtId="0" fontId="37" fillId="0" borderId="0" xfId="4" applyFont="1" applyFill="1" applyBorder="1" applyAlignment="1">
      <alignment horizontal="justify" vertical="center" wrapText="1"/>
    </xf>
    <xf numFmtId="0" fontId="33" fillId="0" borderId="0" xfId="0" applyFont="1" applyFill="1" applyAlignment="1">
      <alignment horizontal="justify"/>
    </xf>
    <xf numFmtId="0" fontId="37" fillId="0" borderId="0" xfId="104" applyFont="1" applyFill="1" applyBorder="1" applyAlignment="1">
      <alignment horizontal="justify" vertical="center" wrapText="1"/>
    </xf>
    <xf numFmtId="0" fontId="33" fillId="0" borderId="0" xfId="0" applyFont="1" applyFill="1" applyBorder="1" applyAlignment="1">
      <alignment vertical="top"/>
    </xf>
    <xf numFmtId="165" fontId="38" fillId="19" borderId="0" xfId="2" applyFont="1" applyFill="1" applyBorder="1" applyAlignment="1" applyProtection="1">
      <alignment vertical="top"/>
    </xf>
    <xf numFmtId="167" fontId="38" fillId="21" borderId="0" xfId="2" applyNumberFormat="1" applyFont="1" applyFill="1" applyBorder="1" applyAlignment="1" applyProtection="1">
      <alignment vertical="top" wrapText="1"/>
    </xf>
    <xf numFmtId="165" fontId="38" fillId="21" borderId="0" xfId="2" applyFont="1" applyFill="1" applyBorder="1" applyAlignment="1" applyProtection="1">
      <alignment vertical="top" wrapText="1"/>
    </xf>
    <xf numFmtId="10" fontId="38" fillId="19" borderId="26" xfId="5" applyNumberFormat="1" applyFont="1" applyFill="1" applyBorder="1" applyAlignment="1" applyProtection="1">
      <alignment horizontal="center" vertical="top" wrapText="1"/>
    </xf>
    <xf numFmtId="165" fontId="38" fillId="19" borderId="0" xfId="2" applyFont="1" applyFill="1" applyBorder="1" applyAlignment="1" applyProtection="1">
      <alignment horizontal="center" vertical="top"/>
    </xf>
    <xf numFmtId="165" fontId="34" fillId="19" borderId="0" xfId="2" applyFont="1" applyFill="1" applyBorder="1" applyAlignment="1" applyProtection="1">
      <alignment horizontal="center" vertical="top"/>
    </xf>
    <xf numFmtId="167" fontId="38" fillId="21" borderId="0" xfId="2" applyNumberFormat="1" applyFont="1" applyFill="1" applyBorder="1" applyAlignment="1" applyProtection="1">
      <alignment horizontal="center" vertical="top" wrapText="1"/>
    </xf>
    <xf numFmtId="165" fontId="38" fillId="21" borderId="0" xfId="2" applyFont="1" applyFill="1" applyBorder="1" applyAlignment="1" applyProtection="1">
      <alignment horizontal="center" vertical="top" wrapText="1"/>
    </xf>
    <xf numFmtId="0" fontId="38" fillId="0" borderId="12" xfId="0" applyFont="1" applyFill="1" applyBorder="1" applyAlignment="1">
      <alignment horizontal="center" vertical="top"/>
    </xf>
    <xf numFmtId="0" fontId="38" fillId="0" borderId="12" xfId="0" applyFont="1" applyFill="1" applyBorder="1" applyAlignment="1">
      <alignment horizontal="center" vertical="top" wrapText="1"/>
    </xf>
    <xf numFmtId="167" fontId="38" fillId="0" borderId="12" xfId="6" applyNumberFormat="1" applyFont="1" applyFill="1" applyBorder="1" applyAlignment="1">
      <alignment horizontal="center" vertical="top"/>
    </xf>
    <xf numFmtId="164" fontId="38" fillId="0" borderId="12" xfId="6" applyFont="1" applyFill="1" applyBorder="1" applyAlignment="1">
      <alignment horizontal="center" vertical="top"/>
    </xf>
    <xf numFmtId="164" fontId="38" fillId="0" borderId="12" xfId="6" applyFont="1" applyFill="1" applyBorder="1" applyAlignment="1">
      <alignment horizontal="center" vertical="top" wrapText="1"/>
    </xf>
    <xf numFmtId="0" fontId="38" fillId="20" borderId="62" xfId="0" applyFont="1" applyFill="1" applyBorder="1" applyAlignment="1">
      <alignment horizontal="center" vertical="top"/>
    </xf>
    <xf numFmtId="165" fontId="36" fillId="20" borderId="62" xfId="2" applyFont="1" applyFill="1" applyBorder="1" applyAlignment="1" applyProtection="1">
      <alignment horizontal="center" vertical="top"/>
    </xf>
    <xf numFmtId="165" fontId="36" fillId="20" borderId="62" xfId="2" applyFont="1" applyFill="1" applyBorder="1" applyAlignment="1" applyProtection="1">
      <alignment horizontal="left" vertical="top"/>
    </xf>
    <xf numFmtId="167" fontId="38" fillId="20" borderId="62" xfId="6" applyNumberFormat="1" applyFont="1" applyFill="1" applyBorder="1" applyAlignment="1">
      <alignment horizontal="center" vertical="top"/>
    </xf>
    <xf numFmtId="164" fontId="38" fillId="20" borderId="62" xfId="6" applyFont="1" applyFill="1" applyBorder="1" applyAlignment="1">
      <alignment horizontal="center" vertical="top"/>
    </xf>
    <xf numFmtId="164" fontId="38" fillId="20" borderId="15" xfId="6" applyFont="1" applyFill="1" applyBorder="1" applyAlignment="1">
      <alignment horizontal="center" vertical="top"/>
    </xf>
    <xf numFmtId="165" fontId="37" fillId="0" borderId="0" xfId="2" applyFont="1" applyFill="1" applyBorder="1" applyAlignment="1" applyProtection="1">
      <alignment horizontal="center" vertical="top"/>
    </xf>
    <xf numFmtId="165" fontId="37" fillId="0" borderId="0" xfId="2" applyFont="1" applyFill="1" applyBorder="1" applyAlignment="1" applyProtection="1">
      <alignment horizontal="center" vertical="top" wrapText="1"/>
    </xf>
    <xf numFmtId="165" fontId="37" fillId="0" borderId="0" xfId="2" applyFont="1" applyFill="1" applyBorder="1" applyAlignment="1" applyProtection="1">
      <alignment horizontal="left" vertical="top" wrapText="1"/>
    </xf>
    <xf numFmtId="167" fontId="33" fillId="0" borderId="0" xfId="1" applyNumberFormat="1" applyFont="1" applyFill="1" applyBorder="1" applyAlignment="1" applyProtection="1">
      <alignment vertical="top"/>
    </xf>
    <xf numFmtId="43" fontId="37" fillId="0" borderId="0" xfId="2" applyNumberFormat="1" applyFont="1" applyFill="1" applyBorder="1" applyAlignment="1" applyProtection="1">
      <alignment horizontal="right" vertical="top"/>
    </xf>
    <xf numFmtId="43" fontId="33" fillId="0" borderId="26" xfId="6" applyNumberFormat="1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0" fontId="33" fillId="0" borderId="27" xfId="0" applyFont="1" applyFill="1" applyBorder="1" applyAlignment="1">
      <alignment horizontal="center" vertical="top"/>
    </xf>
    <xf numFmtId="0" fontId="38" fillId="0" borderId="27" xfId="0" applyFont="1" applyFill="1" applyBorder="1" applyAlignment="1">
      <alignment horizontal="left" vertical="top"/>
    </xf>
    <xf numFmtId="0" fontId="38" fillId="0" borderId="27" xfId="0" applyFont="1" applyFill="1" applyBorder="1" applyAlignment="1">
      <alignment horizontal="center" vertical="top"/>
    </xf>
    <xf numFmtId="167" fontId="38" fillId="0" borderId="27" xfId="6" applyNumberFormat="1" applyFont="1" applyFill="1" applyBorder="1" applyAlignment="1">
      <alignment vertical="top"/>
    </xf>
    <xf numFmtId="43" fontId="38" fillId="0" borderId="27" xfId="6" applyNumberFormat="1" applyFont="1" applyFill="1" applyBorder="1" applyAlignment="1">
      <alignment vertical="top"/>
    </xf>
    <xf numFmtId="164" fontId="33" fillId="0" borderId="0" xfId="0" applyNumberFormat="1" applyFont="1" applyFill="1" applyBorder="1" applyAlignment="1">
      <alignment vertical="top"/>
    </xf>
    <xf numFmtId="168" fontId="33" fillId="0" borderId="0" xfId="0" applyNumberFormat="1" applyFont="1" applyFill="1" applyBorder="1" applyAlignment="1">
      <alignment vertical="top"/>
    </xf>
    <xf numFmtId="43" fontId="33" fillId="0" borderId="0" xfId="0" applyNumberFormat="1" applyFont="1" applyFill="1" applyBorder="1" applyAlignment="1">
      <alignment vertical="top"/>
    </xf>
    <xf numFmtId="43" fontId="38" fillId="0" borderId="28" xfId="6" applyNumberFormat="1" applyFont="1" applyFill="1" applyBorder="1" applyAlignment="1">
      <alignment vertical="top"/>
    </xf>
    <xf numFmtId="0" fontId="38" fillId="0" borderId="0" xfId="0" applyFont="1" applyFill="1" applyBorder="1" applyAlignment="1">
      <alignment vertical="top"/>
    </xf>
    <xf numFmtId="0" fontId="38" fillId="20" borderId="62" xfId="0" applyFont="1" applyFill="1" applyBorder="1" applyAlignment="1">
      <alignment horizontal="center"/>
    </xf>
    <xf numFmtId="0" fontId="38" fillId="20" borderId="62" xfId="0" applyFont="1" applyFill="1" applyBorder="1" applyAlignment="1"/>
    <xf numFmtId="167" fontId="38" fillId="20" borderId="62" xfId="0" applyNumberFormat="1" applyFont="1" applyFill="1" applyBorder="1" applyAlignment="1"/>
    <xf numFmtId="43" fontId="38" fillId="20" borderId="62" xfId="0" applyNumberFormat="1" applyFont="1" applyFill="1" applyBorder="1" applyAlignment="1"/>
    <xf numFmtId="43" fontId="38" fillId="20" borderId="15" xfId="0" applyNumberFormat="1" applyFont="1" applyFill="1" applyBorder="1" applyAlignment="1"/>
    <xf numFmtId="43" fontId="37" fillId="0" borderId="27" xfId="1" applyNumberFormat="1" applyFont="1" applyFill="1" applyBorder="1" applyAlignment="1" applyProtection="1">
      <alignment vertical="top"/>
    </xf>
    <xf numFmtId="0" fontId="33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center" vertical="top"/>
    </xf>
    <xf numFmtId="167" fontId="38" fillId="0" borderId="0" xfId="6" applyNumberFormat="1" applyFont="1" applyFill="1" applyBorder="1" applyAlignment="1">
      <alignment vertical="top"/>
    </xf>
    <xf numFmtId="43" fontId="38" fillId="0" borderId="0" xfId="6" applyNumberFormat="1" applyFont="1" applyFill="1" applyBorder="1" applyAlignment="1">
      <alignment vertical="top"/>
    </xf>
    <xf numFmtId="43" fontId="37" fillId="0" borderId="0" xfId="1" applyNumberFormat="1" applyFont="1" applyFill="1" applyBorder="1" applyAlignment="1" applyProtection="1">
      <alignment vertical="top"/>
    </xf>
    <xf numFmtId="43" fontId="38" fillId="0" borderId="26" xfId="6" applyNumberFormat="1" applyFont="1" applyFill="1" applyBorder="1" applyAlignment="1">
      <alignment vertical="top" wrapText="1"/>
    </xf>
    <xf numFmtId="167" fontId="33" fillId="0" borderId="0" xfId="6" applyNumberFormat="1" applyFont="1" applyFill="1" applyBorder="1" applyAlignment="1">
      <alignment horizontal="center" vertical="top"/>
    </xf>
    <xf numFmtId="164" fontId="33" fillId="0" borderId="0" xfId="6" applyFont="1" applyFill="1" applyBorder="1" applyAlignment="1">
      <alignment horizontal="center" vertical="top"/>
    </xf>
    <xf numFmtId="0" fontId="32" fillId="20" borderId="38" xfId="0" applyFont="1" applyFill="1" applyBorder="1"/>
    <xf numFmtId="0" fontId="32" fillId="20" borderId="39" xfId="0" applyFont="1" applyFill="1" applyBorder="1"/>
    <xf numFmtId="0" fontId="37" fillId="0" borderId="12" xfId="104" applyFont="1" applyFill="1" applyBorder="1" applyAlignment="1">
      <alignment horizontal="left" vertical="center" wrapText="1"/>
    </xf>
    <xf numFmtId="170" fontId="37" fillId="0" borderId="12" xfId="104" applyNumberFormat="1" applyFont="1" applyFill="1" applyBorder="1" applyAlignment="1">
      <alignment horizontal="center" vertical="center" wrapText="1"/>
    </xf>
    <xf numFmtId="0" fontId="37" fillId="0" borderId="0" xfId="104" applyFont="1" applyFill="1" applyBorder="1" applyAlignment="1">
      <alignment horizontal="left" vertical="center" wrapText="1"/>
    </xf>
    <xf numFmtId="170" fontId="37" fillId="0" borderId="0" xfId="104" applyNumberFormat="1" applyFont="1" applyFill="1" applyBorder="1" applyAlignment="1">
      <alignment horizontal="center" vertical="center" wrapText="1"/>
    </xf>
    <xf numFmtId="2" fontId="37" fillId="0" borderId="11" xfId="104" applyNumberFormat="1" applyFont="1" applyFill="1" applyBorder="1" applyAlignment="1">
      <alignment horizontal="center" vertical="center" wrapText="1"/>
    </xf>
    <xf numFmtId="1" fontId="37" fillId="0" borderId="11" xfId="104" applyNumberFormat="1" applyFont="1" applyFill="1" applyBorder="1" applyAlignment="1">
      <alignment horizontal="center" vertical="center" wrapText="1"/>
    </xf>
    <xf numFmtId="0" fontId="33" fillId="33" borderId="62" xfId="0" applyFont="1" applyFill="1" applyBorder="1" applyAlignment="1">
      <alignment horizontal="center" vertical="top"/>
    </xf>
    <xf numFmtId="0" fontId="38" fillId="33" borderId="62" xfId="0" applyFont="1" applyFill="1" applyBorder="1" applyAlignment="1">
      <alignment horizontal="left" vertical="top"/>
    </xf>
    <xf numFmtId="0" fontId="38" fillId="33" borderId="62" xfId="0" applyFont="1" applyFill="1" applyBorder="1" applyAlignment="1">
      <alignment horizontal="center" vertical="top"/>
    </xf>
    <xf numFmtId="167" fontId="38" fillId="33" borderId="62" xfId="6" applyNumberFormat="1" applyFont="1" applyFill="1" applyBorder="1" applyAlignment="1">
      <alignment vertical="top"/>
    </xf>
    <xf numFmtId="43" fontId="38" fillId="33" borderId="62" xfId="6" applyNumberFormat="1" applyFont="1" applyFill="1" applyBorder="1" applyAlignment="1">
      <alignment vertical="top"/>
    </xf>
    <xf numFmtId="43" fontId="37" fillId="33" borderId="62" xfId="1" applyNumberFormat="1" applyFont="1" applyFill="1" applyBorder="1" applyAlignment="1" applyProtection="1">
      <alignment vertical="top"/>
    </xf>
    <xf numFmtId="43" fontId="38" fillId="33" borderId="15" xfId="6" applyNumberFormat="1" applyFont="1" applyFill="1" applyBorder="1" applyAlignment="1">
      <alignment vertical="top" wrapText="1"/>
    </xf>
    <xf numFmtId="0" fontId="33" fillId="34" borderId="27" xfId="0" applyFont="1" applyFill="1" applyBorder="1" applyAlignment="1">
      <alignment horizontal="center" vertical="top"/>
    </xf>
    <xf numFmtId="0" fontId="38" fillId="34" borderId="27" xfId="0" applyFont="1" applyFill="1" applyBorder="1" applyAlignment="1">
      <alignment horizontal="left" vertical="top"/>
    </xf>
    <xf numFmtId="0" fontId="38" fillId="34" borderId="27" xfId="0" applyFont="1" applyFill="1" applyBorder="1" applyAlignment="1">
      <alignment horizontal="center" vertical="top"/>
    </xf>
    <xf numFmtId="165" fontId="37" fillId="0" borderId="0" xfId="2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>
      <alignment horizontal="center" vertical="top"/>
    </xf>
    <xf numFmtId="0" fontId="38" fillId="20" borderId="13" xfId="0" applyFont="1" applyFill="1" applyBorder="1" applyAlignment="1">
      <alignment vertical="top"/>
    </xf>
    <xf numFmtId="0" fontId="38" fillId="20" borderId="62" xfId="0" applyFont="1" applyFill="1" applyBorder="1" applyAlignment="1">
      <alignment vertical="top"/>
    </xf>
    <xf numFmtId="0" fontId="38" fillId="31" borderId="62" xfId="98" applyFont="1" applyFill="1" applyBorder="1" applyAlignment="1">
      <alignment vertical="top" wrapText="1"/>
    </xf>
    <xf numFmtId="2" fontId="33" fillId="31" borderId="62" xfId="98" applyNumberFormat="1" applyFont="1" applyFill="1" applyBorder="1" applyAlignment="1">
      <alignment vertical="top"/>
    </xf>
    <xf numFmtId="4" fontId="35" fillId="31" borderId="12" xfId="98" applyNumberFormat="1" applyFont="1" applyFill="1" applyBorder="1" applyAlignment="1">
      <alignment horizontal="right" vertical="top"/>
    </xf>
    <xf numFmtId="43" fontId="37" fillId="32" borderId="11" xfId="104" applyNumberFormat="1" applyFont="1" applyFill="1" applyBorder="1" applyAlignment="1">
      <alignment horizontal="right" vertical="center" wrapText="1"/>
    </xf>
    <xf numFmtId="43" fontId="37" fillId="32" borderId="11" xfId="104" applyNumberFormat="1" applyFont="1" applyFill="1" applyBorder="1" applyAlignment="1">
      <alignment horizontal="center" vertical="center" wrapText="1"/>
    </xf>
    <xf numFmtId="43" fontId="37" fillId="0" borderId="0" xfId="104" applyNumberFormat="1" applyFont="1" applyFill="1" applyBorder="1" applyAlignment="1">
      <alignment horizontal="right" vertical="center" wrapText="1"/>
    </xf>
    <xf numFmtId="2" fontId="37" fillId="0" borderId="11" xfId="104" applyNumberFormat="1" applyFont="1" applyFill="1" applyBorder="1" applyAlignment="1">
      <alignment horizontal="justify" vertical="center" wrapText="1"/>
    </xf>
    <xf numFmtId="169" fontId="37" fillId="0" borderId="11" xfId="104" applyNumberFormat="1" applyFont="1" applyFill="1" applyBorder="1" applyAlignment="1">
      <alignment horizontal="center" vertical="center" wrapText="1"/>
    </xf>
    <xf numFmtId="2" fontId="37" fillId="0" borderId="11" xfId="104" applyNumberFormat="1" applyFont="1" applyFill="1" applyBorder="1" applyAlignment="1">
      <alignment horizontal="right" vertical="center" wrapText="1"/>
    </xf>
    <xf numFmtId="43" fontId="37" fillId="0" borderId="11" xfId="104" applyNumberFormat="1" applyFont="1" applyFill="1" applyBorder="1" applyAlignment="1">
      <alignment horizontal="right" vertical="center" wrapText="1"/>
    </xf>
    <xf numFmtId="43" fontId="33" fillId="0" borderId="0" xfId="0" applyNumberFormat="1" applyFont="1" applyFill="1" applyAlignment="1">
      <alignment horizontal="justify"/>
    </xf>
    <xf numFmtId="0" fontId="38" fillId="32" borderId="12" xfId="104" applyFont="1" applyFill="1" applyBorder="1" applyAlignment="1">
      <alignment horizontal="center" vertical="center" wrapText="1"/>
    </xf>
    <xf numFmtId="0" fontId="36" fillId="32" borderId="13" xfId="3" applyFont="1" applyFill="1" applyBorder="1" applyAlignment="1" applyProtection="1">
      <alignment horizontal="justify" vertical="center" wrapText="1"/>
      <protection locked="0"/>
    </xf>
    <xf numFmtId="171" fontId="36" fillId="32" borderId="12" xfId="3" applyNumberFormat="1" applyFont="1" applyFill="1" applyBorder="1" applyAlignment="1" applyProtection="1">
      <alignment horizontal="center" vertical="center" wrapText="1"/>
      <protection locked="0"/>
    </xf>
    <xf numFmtId="169" fontId="36" fillId="32" borderId="12" xfId="3" applyNumberFormat="1" applyFont="1" applyFill="1" applyBorder="1" applyAlignment="1" applyProtection="1">
      <alignment horizontal="center" vertical="center" wrapText="1"/>
      <protection locked="0"/>
    </xf>
    <xf numFmtId="2" fontId="36" fillId="32" borderId="12" xfId="3" applyNumberFormat="1" applyFont="1" applyFill="1" applyBorder="1" applyAlignment="1" applyProtection="1">
      <alignment horizontal="right" vertical="center" wrapText="1"/>
      <protection locked="0"/>
    </xf>
    <xf numFmtId="43" fontId="38" fillId="32" borderId="12" xfId="10" applyNumberFormat="1" applyFont="1" applyFill="1" applyBorder="1" applyAlignment="1" applyProtection="1">
      <alignment horizontal="right" vertical="center" wrapText="1"/>
      <protection locked="0"/>
    </xf>
    <xf numFmtId="169" fontId="38" fillId="32" borderId="12" xfId="104" applyNumberFormat="1" applyFont="1" applyFill="1" applyBorder="1" applyAlignment="1">
      <alignment horizontal="center" vertical="center" wrapText="1"/>
    </xf>
    <xf numFmtId="0" fontId="33" fillId="35" borderId="0" xfId="0" applyFont="1" applyFill="1"/>
    <xf numFmtId="0" fontId="37" fillId="0" borderId="13" xfId="104" applyFont="1" applyFill="1" applyBorder="1" applyAlignment="1">
      <alignment horizontal="center" vertical="center" wrapText="1"/>
    </xf>
    <xf numFmtId="0" fontId="37" fillId="0" borderId="62" xfId="104" applyFont="1" applyFill="1" applyBorder="1" applyAlignment="1">
      <alignment horizontal="center" vertical="center" wrapText="1"/>
    </xf>
    <xf numFmtId="0" fontId="41" fillId="0" borderId="62" xfId="104" applyFont="1" applyFill="1" applyBorder="1" applyAlignment="1">
      <alignment horizontal="justify" vertical="center" wrapText="1"/>
    </xf>
    <xf numFmtId="169" fontId="37" fillId="0" borderId="62" xfId="104" applyNumberFormat="1" applyFont="1" applyFill="1" applyBorder="1" applyAlignment="1">
      <alignment horizontal="center" vertical="center" wrapText="1"/>
    </xf>
    <xf numFmtId="2" fontId="37" fillId="0" borderId="62" xfId="104" applyNumberFormat="1" applyFont="1" applyFill="1" applyBorder="1" applyAlignment="1">
      <alignment horizontal="right" vertical="center" wrapText="1"/>
    </xf>
    <xf numFmtId="43" fontId="37" fillId="0" borderId="62" xfId="104" applyNumberFormat="1" applyFont="1" applyFill="1" applyBorder="1" applyAlignment="1">
      <alignment horizontal="right" vertical="center" wrapText="1"/>
    </xf>
    <xf numFmtId="43" fontId="37" fillId="0" borderId="62" xfId="104" applyNumberFormat="1" applyFont="1" applyFill="1" applyBorder="1" applyAlignment="1">
      <alignment horizontal="center" vertical="center" wrapText="1"/>
    </xf>
    <xf numFmtId="43" fontId="37" fillId="0" borderId="15" xfId="104" applyNumberFormat="1" applyFont="1" applyFill="1" applyBorder="1" applyAlignment="1">
      <alignment horizontal="center" vertical="center" wrapText="1"/>
    </xf>
    <xf numFmtId="2" fontId="38" fillId="32" borderId="12" xfId="104" applyNumberFormat="1" applyFont="1" applyFill="1" applyBorder="1" applyAlignment="1">
      <alignment horizontal="center" vertical="center" wrapText="1"/>
    </xf>
    <xf numFmtId="2" fontId="38" fillId="32" borderId="12" xfId="6" applyNumberFormat="1" applyFont="1" applyFill="1" applyBorder="1" applyAlignment="1">
      <alignment horizontal="center" vertical="center" wrapText="1"/>
    </xf>
    <xf numFmtId="43" fontId="33" fillId="0" borderId="0" xfId="0" applyNumberFormat="1" applyFont="1" applyFill="1" applyBorder="1" applyAlignment="1">
      <alignment vertical="top" wrapText="1"/>
    </xf>
    <xf numFmtId="0" fontId="41" fillId="0" borderId="0" xfId="104" applyFont="1" applyFill="1" applyBorder="1" applyAlignment="1">
      <alignment horizontal="justify" vertical="center" wrapText="1"/>
    </xf>
    <xf numFmtId="0" fontId="37" fillId="20" borderId="12" xfId="104" applyFont="1" applyFill="1" applyBorder="1" applyAlignment="1">
      <alignment horizontal="justify" vertical="center" wrapText="1"/>
    </xf>
    <xf numFmtId="0" fontId="36" fillId="32" borderId="12" xfId="104" applyFont="1" applyFill="1" applyBorder="1" applyAlignment="1">
      <alignment horizontal="center" vertical="center" wrapText="1"/>
    </xf>
    <xf numFmtId="1" fontId="36" fillId="32" borderId="12" xfId="104" applyNumberFormat="1" applyFont="1" applyFill="1" applyBorder="1" applyAlignment="1">
      <alignment horizontal="center" vertical="center" wrapText="1"/>
    </xf>
    <xf numFmtId="0" fontId="36" fillId="32" borderId="12" xfId="104" applyFont="1" applyFill="1" applyBorder="1" applyAlignment="1">
      <alignment horizontal="justify" vertical="center" wrapText="1"/>
    </xf>
    <xf numFmtId="169" fontId="36" fillId="32" borderId="12" xfId="104" applyNumberFormat="1" applyFont="1" applyFill="1" applyBorder="1" applyAlignment="1">
      <alignment horizontal="center" vertical="center" wrapText="1"/>
    </xf>
    <xf numFmtId="2" fontId="36" fillId="32" borderId="12" xfId="104" applyNumberFormat="1" applyFont="1" applyFill="1" applyBorder="1" applyAlignment="1">
      <alignment horizontal="right" vertical="center" wrapText="1"/>
    </xf>
    <xf numFmtId="43" fontId="36" fillId="32" borderId="11" xfId="104" applyNumberFormat="1" applyFont="1" applyFill="1" applyBorder="1" applyAlignment="1">
      <alignment horizontal="right" vertical="center" wrapText="1"/>
    </xf>
    <xf numFmtId="43" fontId="36" fillId="32" borderId="12" xfId="104" applyNumberFormat="1" applyFont="1" applyFill="1" applyBorder="1" applyAlignment="1">
      <alignment horizontal="center" vertical="center" wrapText="1"/>
    </xf>
    <xf numFmtId="1" fontId="38" fillId="20" borderId="43" xfId="0" applyNumberFormat="1" applyFont="1" applyFill="1" applyBorder="1" applyAlignment="1">
      <alignment horizontal="center" vertical="center"/>
    </xf>
    <xf numFmtId="1" fontId="38" fillId="20" borderId="22" xfId="0" applyNumberFormat="1" applyFont="1" applyFill="1" applyBorder="1" applyAlignment="1">
      <alignment horizontal="left" vertical="center"/>
    </xf>
    <xf numFmtId="1" fontId="38" fillId="20" borderId="38" xfId="0" applyNumberFormat="1" applyFont="1" applyFill="1" applyBorder="1" applyAlignment="1">
      <alignment horizontal="center" vertical="center"/>
    </xf>
    <xf numFmtId="165" fontId="36" fillId="0" borderId="0" xfId="2" applyFont="1" applyFill="1" applyBorder="1" applyAlignment="1" applyProtection="1">
      <alignment horizontal="justify" vertical="top" wrapText="1"/>
    </xf>
    <xf numFmtId="165" fontId="37" fillId="0" borderId="13" xfId="2" applyFont="1" applyFill="1" applyBorder="1" applyAlignment="1" applyProtection="1">
      <alignment horizontal="center" vertical="top"/>
    </xf>
    <xf numFmtId="165" fontId="37" fillId="0" borderId="62" xfId="2" applyFont="1" applyFill="1" applyBorder="1" applyAlignment="1" applyProtection="1">
      <alignment horizontal="center" vertical="top"/>
    </xf>
    <xf numFmtId="165" fontId="37" fillId="0" borderId="62" xfId="2" applyFont="1" applyFill="1" applyBorder="1" applyAlignment="1" applyProtection="1">
      <alignment horizontal="center" vertical="top" wrapText="1"/>
    </xf>
    <xf numFmtId="165" fontId="36" fillId="0" borderId="62" xfId="2" applyFont="1" applyFill="1" applyBorder="1" applyAlignment="1" applyProtection="1">
      <alignment horizontal="justify" vertical="top" wrapText="1"/>
    </xf>
    <xf numFmtId="165" fontId="37" fillId="20" borderId="13" xfId="2" applyFont="1" applyFill="1" applyBorder="1" applyAlignment="1" applyProtection="1">
      <alignment horizontal="center" vertical="top"/>
    </xf>
    <xf numFmtId="165" fontId="37" fillId="20" borderId="62" xfId="2" applyFont="1" applyFill="1" applyBorder="1" applyAlignment="1" applyProtection="1">
      <alignment horizontal="center" vertical="top"/>
    </xf>
    <xf numFmtId="165" fontId="37" fillId="20" borderId="62" xfId="2" applyFont="1" applyFill="1" applyBorder="1" applyAlignment="1" applyProtection="1">
      <alignment horizontal="center" vertical="top" wrapText="1"/>
    </xf>
    <xf numFmtId="165" fontId="36" fillId="20" borderId="62" xfId="2" applyFont="1" applyFill="1" applyBorder="1" applyAlignment="1" applyProtection="1">
      <alignment horizontal="justify" vertical="top" wrapText="1"/>
    </xf>
    <xf numFmtId="43" fontId="38" fillId="20" borderId="15" xfId="6" applyNumberFormat="1" applyFont="1" applyFill="1" applyBorder="1" applyAlignment="1">
      <alignment vertical="top" wrapText="1"/>
    </xf>
    <xf numFmtId="165" fontId="37" fillId="33" borderId="13" xfId="2" applyFont="1" applyFill="1" applyBorder="1" applyAlignment="1" applyProtection="1">
      <alignment horizontal="center" vertical="top"/>
    </xf>
    <xf numFmtId="165" fontId="37" fillId="33" borderId="62" xfId="2" applyFont="1" applyFill="1" applyBorder="1" applyAlignment="1" applyProtection="1">
      <alignment horizontal="center" vertical="top"/>
    </xf>
    <xf numFmtId="165" fontId="37" fillId="33" borderId="62" xfId="2" applyFont="1" applyFill="1" applyBorder="1" applyAlignment="1" applyProtection="1">
      <alignment horizontal="center" vertical="top" wrapText="1"/>
    </xf>
    <xf numFmtId="165" fontId="36" fillId="33" borderId="62" xfId="2" applyFont="1" applyFill="1" applyBorder="1" applyAlignment="1" applyProtection="1">
      <alignment horizontal="justify" vertical="top" wrapText="1"/>
    </xf>
    <xf numFmtId="165" fontId="36" fillId="0" borderId="0" xfId="2" applyFont="1" applyFill="1" applyBorder="1" applyAlignment="1" applyProtection="1">
      <alignment horizontal="center" vertical="top"/>
    </xf>
    <xf numFmtId="167" fontId="38" fillId="0" borderId="0" xfId="1" applyNumberFormat="1" applyFont="1" applyFill="1" applyBorder="1" applyAlignment="1" applyProtection="1">
      <alignment vertical="top"/>
    </xf>
    <xf numFmtId="43" fontId="36" fillId="0" borderId="0" xfId="2" applyNumberFormat="1" applyFont="1" applyFill="1" applyBorder="1" applyAlignment="1" applyProtection="1">
      <alignment horizontal="right" vertical="top"/>
    </xf>
    <xf numFmtId="1" fontId="33" fillId="20" borderId="0" xfId="0" applyNumberFormat="1" applyFont="1" applyFill="1"/>
    <xf numFmtId="0" fontId="37" fillId="20" borderId="12" xfId="104" applyFont="1" applyFill="1" applyBorder="1" applyAlignment="1">
      <alignment horizontal="center" vertical="center" wrapText="1"/>
    </xf>
    <xf numFmtId="1" fontId="37" fillId="20" borderId="12" xfId="104" applyNumberFormat="1" applyFont="1" applyFill="1" applyBorder="1" applyAlignment="1">
      <alignment horizontal="center" vertical="center" wrapText="1"/>
    </xf>
    <xf numFmtId="43" fontId="37" fillId="20" borderId="12" xfId="104" applyNumberFormat="1" applyFont="1" applyFill="1" applyBorder="1" applyAlignment="1">
      <alignment horizontal="right" vertical="center" wrapText="1"/>
    </xf>
    <xf numFmtId="43" fontId="37" fillId="20" borderId="12" xfId="104" applyNumberFormat="1" applyFont="1" applyFill="1" applyBorder="1" applyAlignment="1">
      <alignment horizontal="center" vertical="center" wrapText="1"/>
    </xf>
    <xf numFmtId="0" fontId="38" fillId="20" borderId="27" xfId="0" applyFont="1" applyFill="1" applyBorder="1" applyAlignment="1"/>
    <xf numFmtId="167" fontId="38" fillId="20" borderId="62" xfId="1" applyNumberFormat="1" applyFont="1" applyFill="1" applyBorder="1" applyAlignment="1" applyProtection="1">
      <alignment vertical="top"/>
    </xf>
    <xf numFmtId="43" fontId="36" fillId="20" borderId="62" xfId="2" applyNumberFormat="1" applyFont="1" applyFill="1" applyBorder="1" applyAlignment="1" applyProtection="1">
      <alignment horizontal="right" vertical="top"/>
    </xf>
    <xf numFmtId="165" fontId="36" fillId="0" borderId="62" xfId="2" applyFont="1" applyFill="1" applyBorder="1" applyAlignment="1" applyProtection="1">
      <alignment horizontal="center" vertical="top"/>
    </xf>
    <xf numFmtId="0" fontId="37" fillId="32" borderId="12" xfId="104" applyFont="1" applyFill="1" applyBorder="1" applyAlignment="1">
      <alignment horizontal="center" vertical="center" wrapText="1"/>
    </xf>
    <xf numFmtId="170" fontId="37" fillId="32" borderId="12" xfId="104" applyNumberFormat="1" applyFont="1" applyFill="1" applyBorder="1" applyAlignment="1">
      <alignment horizontal="center" vertical="center" wrapText="1"/>
    </xf>
    <xf numFmtId="43" fontId="37" fillId="32" borderId="12" xfId="104" applyNumberFormat="1" applyFont="1" applyFill="1" applyBorder="1" applyAlignment="1">
      <alignment horizontal="center" vertical="center" wrapText="1"/>
    </xf>
    <xf numFmtId="43" fontId="37" fillId="32" borderId="12" xfId="4" applyNumberFormat="1" applyFont="1" applyFill="1" applyBorder="1" applyAlignment="1">
      <alignment horizontal="right" vertical="center" wrapText="1"/>
    </xf>
    <xf numFmtId="165" fontId="37" fillId="0" borderId="0" xfId="2" applyFont="1" applyFill="1" applyBorder="1" applyAlignment="1" applyProtection="1">
      <alignment horizontal="center" vertical="center"/>
    </xf>
    <xf numFmtId="165" fontId="37" fillId="0" borderId="0" xfId="2" applyFont="1" applyFill="1" applyBorder="1" applyAlignment="1" applyProtection="1">
      <alignment horizontal="center" vertical="center" wrapText="1"/>
    </xf>
    <xf numFmtId="0" fontId="45" fillId="20" borderId="79" xfId="0" applyFont="1" applyFill="1" applyBorder="1" applyAlignment="1">
      <alignment horizontal="left" vertical="top" wrapText="1"/>
    </xf>
    <xf numFmtId="165" fontId="36" fillId="0" borderId="0" xfId="2" applyFont="1" applyFill="1" applyBorder="1" applyAlignment="1" applyProtection="1">
      <alignment horizontal="center" vertical="top" wrapText="1"/>
    </xf>
    <xf numFmtId="164" fontId="38" fillId="0" borderId="0" xfId="0" applyNumberFormat="1" applyFont="1" applyFill="1" applyBorder="1" applyAlignment="1">
      <alignment vertical="top"/>
    </xf>
    <xf numFmtId="0" fontId="35" fillId="20" borderId="23" xfId="0" applyFont="1" applyFill="1" applyBorder="1" applyAlignment="1">
      <alignment horizontal="center"/>
    </xf>
    <xf numFmtId="0" fontId="38" fillId="0" borderId="0" xfId="0" applyFont="1" applyFill="1"/>
    <xf numFmtId="1" fontId="40" fillId="20" borderId="12" xfId="0" applyNumberFormat="1" applyFont="1" applyFill="1" applyBorder="1" applyAlignment="1">
      <alignment horizontal="center" vertical="center"/>
    </xf>
    <xf numFmtId="1" fontId="38" fillId="20" borderId="0" xfId="0" applyNumberFormat="1" applyFont="1" applyFill="1" applyAlignment="1">
      <alignment horizontal="center" vertical="center"/>
    </xf>
    <xf numFmtId="169" fontId="33" fillId="0" borderId="12" xfId="104" applyNumberFormat="1" applyFont="1" applyFill="1" applyBorder="1" applyAlignment="1">
      <alignment horizontal="center" vertical="center" wrapText="1"/>
    </xf>
    <xf numFmtId="2" fontId="33" fillId="0" borderId="12" xfId="104" applyNumberFormat="1" applyFont="1" applyFill="1" applyBorder="1" applyAlignment="1">
      <alignment horizontal="right" vertical="center" wrapText="1"/>
    </xf>
    <xf numFmtId="169" fontId="33" fillId="0" borderId="62" xfId="104" applyNumberFormat="1" applyFont="1" applyFill="1" applyBorder="1" applyAlignment="1">
      <alignment horizontal="center" vertical="center" wrapText="1"/>
    </xf>
    <xf numFmtId="2" fontId="33" fillId="0" borderId="62" xfId="104" applyNumberFormat="1" applyFont="1" applyFill="1" applyBorder="1" applyAlignment="1">
      <alignment horizontal="right" vertical="center" wrapText="1"/>
    </xf>
    <xf numFmtId="1" fontId="39" fillId="20" borderId="12" xfId="0" applyNumberFormat="1" applyFont="1" applyFill="1" applyBorder="1" applyAlignment="1">
      <alignment horizontal="center" vertical="center"/>
    </xf>
    <xf numFmtId="1" fontId="38" fillId="20" borderId="16" xfId="0" applyNumberFormat="1" applyFont="1" applyFill="1" applyBorder="1" applyAlignment="1">
      <alignment horizontal="center" vertical="center"/>
    </xf>
    <xf numFmtId="1" fontId="38" fillId="20" borderId="0" xfId="0" applyNumberFormat="1" applyFont="1" applyFill="1" applyBorder="1" applyAlignment="1">
      <alignment horizontal="center" vertical="center"/>
    </xf>
    <xf numFmtId="1" fontId="40" fillId="20" borderId="12" xfId="3" applyNumberFormat="1" applyFont="1" applyFill="1" applyBorder="1" applyAlignment="1" applyProtection="1">
      <alignment horizontal="center" vertical="center" wrapText="1"/>
    </xf>
    <xf numFmtId="0" fontId="33" fillId="20" borderId="23" xfId="0" applyFont="1" applyFill="1" applyBorder="1"/>
    <xf numFmtId="0" fontId="33" fillId="0" borderId="0" xfId="0" applyFont="1"/>
    <xf numFmtId="4" fontId="33" fillId="18" borderId="0" xfId="0" applyNumberFormat="1" applyFont="1" applyFill="1" applyBorder="1" applyAlignment="1">
      <alignment vertical="center"/>
    </xf>
    <xf numFmtId="4" fontId="33" fillId="18" borderId="23" xfId="0" applyNumberFormat="1" applyFont="1" applyFill="1" applyBorder="1" applyAlignment="1">
      <alignment vertical="center"/>
    </xf>
    <xf numFmtId="4" fontId="33" fillId="18" borderId="22" xfId="0" applyNumberFormat="1" applyFont="1" applyFill="1" applyBorder="1" applyAlignment="1">
      <alignment vertical="center" wrapText="1"/>
    </xf>
    <xf numFmtId="4" fontId="33" fillId="18" borderId="0" xfId="0" applyNumberFormat="1" applyFont="1" applyFill="1" applyBorder="1" applyAlignment="1">
      <alignment vertical="center" wrapText="1"/>
    </xf>
    <xf numFmtId="4" fontId="33" fillId="18" borderId="23" xfId="0" applyNumberFormat="1" applyFont="1" applyFill="1" applyBorder="1" applyAlignment="1">
      <alignment vertical="center" wrapText="1"/>
    </xf>
    <xf numFmtId="0" fontId="33" fillId="20" borderId="40" xfId="0" applyFont="1" applyFill="1" applyBorder="1"/>
    <xf numFmtId="0" fontId="38" fillId="20" borderId="11" xfId="0" applyFont="1" applyFill="1" applyBorder="1" applyAlignment="1">
      <alignment horizontal="center"/>
    </xf>
    <xf numFmtId="164" fontId="38" fillId="20" borderId="11" xfId="6" applyFont="1" applyFill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52" xfId="0" applyFont="1" applyBorder="1" applyAlignment="1">
      <alignment horizontal="left"/>
    </xf>
    <xf numFmtId="164" fontId="38" fillId="0" borderId="52" xfId="6" applyFont="1" applyBorder="1" applyAlignment="1">
      <alignment horizontal="center"/>
    </xf>
    <xf numFmtId="164" fontId="38" fillId="0" borderId="53" xfId="6" applyFont="1" applyBorder="1" applyAlignment="1">
      <alignment horizontal="center"/>
    </xf>
    <xf numFmtId="164" fontId="38" fillId="0" borderId="54" xfId="6" applyFont="1" applyBorder="1" applyAlignment="1">
      <alignment horizontal="center"/>
    </xf>
    <xf numFmtId="0" fontId="38" fillId="0" borderId="29" xfId="0" applyFont="1" applyBorder="1" applyAlignment="1">
      <alignment horizontal="center" vertical="top"/>
    </xf>
    <xf numFmtId="0" fontId="38" fillId="0" borderId="30" xfId="0" applyFont="1" applyBorder="1" applyAlignment="1">
      <alignment horizontal="left" vertical="top"/>
    </xf>
    <xf numFmtId="10" fontId="33" fillId="0" borderId="30" xfId="5" applyNumberFormat="1" applyFont="1" applyBorder="1" applyAlignment="1">
      <alignment horizontal="center" vertical="top"/>
    </xf>
    <xf numFmtId="43" fontId="33" fillId="0" borderId="30" xfId="6" applyNumberFormat="1" applyFont="1" applyBorder="1" applyAlignment="1">
      <alignment vertical="top"/>
    </xf>
    <xf numFmtId="43" fontId="38" fillId="0" borderId="31" xfId="6" applyNumberFormat="1" applyFont="1" applyBorder="1" applyAlignment="1">
      <alignment vertical="top"/>
    </xf>
    <xf numFmtId="0" fontId="38" fillId="0" borderId="32" xfId="0" applyFont="1" applyBorder="1" applyAlignment="1">
      <alignment horizontal="center" vertical="top"/>
    </xf>
    <xf numFmtId="0" fontId="38" fillId="0" borderId="33" xfId="0" applyFont="1" applyBorder="1" applyAlignment="1">
      <alignment horizontal="left" vertical="top"/>
    </xf>
    <xf numFmtId="164" fontId="33" fillId="0" borderId="33" xfId="6" applyFont="1" applyBorder="1" applyAlignment="1">
      <alignment horizontal="center" vertical="top"/>
    </xf>
    <xf numFmtId="164" fontId="33" fillId="38" borderId="33" xfId="6" applyFont="1" applyFill="1" applyBorder="1" applyAlignment="1">
      <alignment vertical="top"/>
    </xf>
    <xf numFmtId="164" fontId="38" fillId="0" borderId="34" xfId="6" applyFont="1" applyBorder="1" applyAlignment="1">
      <alignment vertical="top"/>
    </xf>
    <xf numFmtId="0" fontId="38" fillId="0" borderId="35" xfId="0" applyFont="1" applyBorder="1" applyAlignment="1">
      <alignment horizontal="center" vertical="top"/>
    </xf>
    <xf numFmtId="0" fontId="38" fillId="0" borderId="36" xfId="0" applyFont="1" applyBorder="1" applyAlignment="1">
      <alignment vertical="top"/>
    </xf>
    <xf numFmtId="164" fontId="33" fillId="0" borderId="36" xfId="6" applyFont="1" applyBorder="1" applyAlignment="1">
      <alignment horizontal="center" vertical="top"/>
    </xf>
    <xf numFmtId="10" fontId="33" fillId="0" borderId="36" xfId="6" applyNumberFormat="1" applyFont="1" applyBorder="1" applyAlignment="1">
      <alignment horizontal="center" vertical="top"/>
    </xf>
    <xf numFmtId="164" fontId="38" fillId="0" borderId="37" xfId="6" applyFont="1" applyBorder="1" applyAlignment="1">
      <alignment vertical="top"/>
    </xf>
    <xf numFmtId="0" fontId="38" fillId="39" borderId="58" xfId="0" applyFont="1" applyFill="1" applyBorder="1" applyAlignment="1">
      <alignment horizontal="center" vertical="top"/>
    </xf>
    <xf numFmtId="0" fontId="38" fillId="39" borderId="59" xfId="0" applyFont="1" applyFill="1" applyBorder="1" applyAlignment="1">
      <alignment vertical="top"/>
    </xf>
    <xf numFmtId="164" fontId="33" fillId="39" borderId="59" xfId="6" applyFont="1" applyFill="1" applyBorder="1" applyAlignment="1">
      <alignment horizontal="center" vertical="top"/>
    </xf>
    <xf numFmtId="9" fontId="33" fillId="39" borderId="59" xfId="6" applyNumberFormat="1" applyFont="1" applyFill="1" applyBorder="1" applyAlignment="1">
      <alignment horizontal="center" vertical="top"/>
    </xf>
    <xf numFmtId="9" fontId="33" fillId="39" borderId="60" xfId="6" applyNumberFormat="1" applyFont="1" applyFill="1" applyBorder="1" applyAlignment="1">
      <alignment horizontal="center" vertical="top"/>
    </xf>
    <xf numFmtId="164" fontId="38" fillId="39" borderId="61" xfId="6" applyFont="1" applyFill="1" applyBorder="1" applyAlignment="1">
      <alignment vertical="top"/>
    </xf>
    <xf numFmtId="0" fontId="38" fillId="0" borderId="80" xfId="0" applyFont="1" applyBorder="1" applyAlignment="1">
      <alignment horizontal="center" vertical="top"/>
    </xf>
    <xf numFmtId="0" fontId="38" fillId="0" borderId="81" xfId="0" applyFont="1" applyBorder="1" applyAlignment="1">
      <alignment horizontal="left" vertical="top" wrapText="1"/>
    </xf>
    <xf numFmtId="43" fontId="38" fillId="0" borderId="50" xfId="6" applyNumberFormat="1" applyFont="1" applyBorder="1" applyAlignment="1">
      <alignment vertical="top"/>
    </xf>
    <xf numFmtId="0" fontId="38" fillId="0" borderId="33" xfId="0" applyFont="1" applyBorder="1" applyAlignment="1">
      <alignment horizontal="left" vertical="top" wrapText="1"/>
    </xf>
    <xf numFmtId="0" fontId="38" fillId="0" borderId="55" xfId="0" applyFont="1" applyBorder="1" applyAlignment="1">
      <alignment horizontal="center" vertical="top"/>
    </xf>
    <xf numFmtId="0" fontId="38" fillId="0" borderId="56" xfId="0" applyFont="1" applyBorder="1" applyAlignment="1">
      <alignment vertical="top" wrapText="1"/>
    </xf>
    <xf numFmtId="164" fontId="33" fillId="0" borderId="56" xfId="6" applyFont="1" applyBorder="1" applyAlignment="1">
      <alignment horizontal="center" vertical="top"/>
    </xf>
    <xf numFmtId="164" fontId="38" fillId="0" borderId="57" xfId="6" applyFont="1" applyBorder="1" applyAlignment="1">
      <alignment vertical="top"/>
    </xf>
    <xf numFmtId="0" fontId="38" fillId="0" borderId="30" xfId="0" applyFont="1" applyBorder="1" applyAlignment="1">
      <alignment horizontal="left" vertical="top" wrapText="1"/>
    </xf>
    <xf numFmtId="43" fontId="33" fillId="0" borderId="0" xfId="0" applyNumberFormat="1" applyFont="1"/>
    <xf numFmtId="0" fontId="38" fillId="0" borderId="58" xfId="0" applyFont="1" applyBorder="1" applyAlignment="1">
      <alignment horizontal="center" vertical="top"/>
    </xf>
    <xf numFmtId="0" fontId="33" fillId="0" borderId="59" xfId="0" applyFont="1" applyBorder="1" applyAlignment="1">
      <alignment vertical="top"/>
    </xf>
    <xf numFmtId="164" fontId="33" fillId="0" borderId="59" xfId="6" applyFont="1" applyBorder="1" applyAlignment="1">
      <alignment vertical="top"/>
    </xf>
    <xf numFmtId="9" fontId="33" fillId="0" borderId="59" xfId="6" applyNumberFormat="1" applyFont="1" applyBorder="1" applyAlignment="1">
      <alignment horizontal="center" vertical="top"/>
    </xf>
    <xf numFmtId="9" fontId="33" fillId="0" borderId="60" xfId="6" applyNumberFormat="1" applyFont="1" applyBorder="1" applyAlignment="1">
      <alignment horizontal="center" vertical="top"/>
    </xf>
    <xf numFmtId="164" fontId="38" fillId="0" borderId="61" xfId="6" applyFont="1" applyBorder="1" applyAlignment="1">
      <alignment vertical="top"/>
    </xf>
    <xf numFmtId="0" fontId="33" fillId="0" borderId="78" xfId="0" applyFont="1" applyBorder="1" applyAlignment="1">
      <alignment vertical="top"/>
    </xf>
    <xf numFmtId="0" fontId="38" fillId="18" borderId="63" xfId="0" applyFont="1" applyFill="1" applyBorder="1" applyAlignment="1">
      <alignment vertical="top"/>
    </xf>
    <xf numFmtId="43" fontId="33" fillId="0" borderId="63" xfId="6" applyNumberFormat="1" applyFont="1" applyBorder="1" applyAlignment="1">
      <alignment vertical="top"/>
    </xf>
    <xf numFmtId="43" fontId="46" fillId="0" borderId="12" xfId="6" applyNumberFormat="1" applyFont="1" applyBorder="1" applyAlignment="1">
      <alignment vertical="top"/>
    </xf>
    <xf numFmtId="0" fontId="38" fillId="18" borderId="63" xfId="0" applyFont="1" applyFill="1" applyBorder="1" applyAlignment="1">
      <alignment horizontal="left" vertical="top"/>
    </xf>
    <xf numFmtId="0" fontId="38" fillId="18" borderId="63" xfId="0" applyFont="1" applyFill="1" applyBorder="1" applyAlignment="1">
      <alignment horizontal="right" vertical="top"/>
    </xf>
    <xf numFmtId="0" fontId="38" fillId="18" borderId="29" xfId="0" applyFont="1" applyFill="1" applyBorder="1" applyAlignment="1">
      <alignment horizontal="left" vertical="top"/>
    </xf>
    <xf numFmtId="0" fontId="38" fillId="20" borderId="82" xfId="0" applyFont="1" applyFill="1" applyBorder="1" applyAlignment="1">
      <alignment horizontal="left" vertical="top"/>
    </xf>
    <xf numFmtId="0" fontId="38" fillId="20" borderId="83" xfId="0" applyFont="1" applyFill="1" applyBorder="1" applyAlignment="1">
      <alignment horizontal="left" vertical="top"/>
    </xf>
    <xf numFmtId="43" fontId="33" fillId="0" borderId="50" xfId="6" applyNumberFormat="1" applyFont="1" applyBorder="1" applyAlignment="1">
      <alignment vertical="top"/>
    </xf>
    <xf numFmtId="43" fontId="33" fillId="0" borderId="33" xfId="6" applyNumberFormat="1" applyFont="1" applyBorder="1" applyAlignment="1">
      <alignment vertical="top"/>
    </xf>
    <xf numFmtId="10" fontId="33" fillId="0" borderId="33" xfId="5" applyNumberFormat="1" applyFont="1" applyBorder="1" applyAlignment="1">
      <alignment horizontal="center" vertical="top"/>
    </xf>
    <xf numFmtId="43" fontId="33" fillId="0" borderId="37" xfId="0" applyNumberFormat="1" applyFont="1" applyBorder="1" applyAlignment="1">
      <alignment vertical="top"/>
    </xf>
    <xf numFmtId="43" fontId="38" fillId="0" borderId="0" xfId="0" applyNumberFormat="1" applyFont="1" applyFill="1" applyBorder="1" applyAlignment="1">
      <alignment vertical="top"/>
    </xf>
    <xf numFmtId="164" fontId="33" fillId="0" borderId="30" xfId="5" applyNumberFormat="1" applyFont="1" applyBorder="1" applyAlignment="1">
      <alignment horizontal="center" vertical="top"/>
    </xf>
    <xf numFmtId="43" fontId="38" fillId="0" borderId="33" xfId="6" applyNumberFormat="1" applyFont="1" applyBorder="1" applyAlignment="1">
      <alignment vertical="top"/>
    </xf>
    <xf numFmtId="0" fontId="47" fillId="20" borderId="0" xfId="0" applyFont="1" applyFill="1" applyBorder="1"/>
    <xf numFmtId="0" fontId="47" fillId="20" borderId="23" xfId="0" applyFont="1" applyFill="1" applyBorder="1"/>
    <xf numFmtId="0" fontId="47" fillId="0" borderId="0" xfId="0" applyFont="1"/>
    <xf numFmtId="4" fontId="47" fillId="18" borderId="0" xfId="0" applyNumberFormat="1" applyFont="1" applyFill="1" applyBorder="1" applyAlignment="1">
      <alignment vertical="center"/>
    </xf>
    <xf numFmtId="4" fontId="47" fillId="18" borderId="23" xfId="0" applyNumberFormat="1" applyFont="1" applyFill="1" applyBorder="1" applyAlignment="1">
      <alignment vertical="center"/>
    </xf>
    <xf numFmtId="4" fontId="47" fillId="18" borderId="22" xfId="0" applyNumberFormat="1" applyFont="1" applyFill="1" applyBorder="1" applyAlignment="1">
      <alignment vertical="center" wrapText="1"/>
    </xf>
    <xf numFmtId="4" fontId="47" fillId="18" borderId="0" xfId="0" applyNumberFormat="1" applyFont="1" applyFill="1" applyBorder="1" applyAlignment="1">
      <alignment vertical="center" wrapText="1"/>
    </xf>
    <xf numFmtId="4" fontId="47" fillId="18" borderId="23" xfId="0" applyNumberFormat="1" applyFont="1" applyFill="1" applyBorder="1" applyAlignment="1">
      <alignment vertical="center" wrapText="1"/>
    </xf>
    <xf numFmtId="0" fontId="47" fillId="20" borderId="38" xfId="0" applyFont="1" applyFill="1" applyBorder="1"/>
    <xf numFmtId="0" fontId="47" fillId="20" borderId="39" xfId="0" applyFont="1" applyFill="1" applyBorder="1"/>
    <xf numFmtId="0" fontId="47" fillId="20" borderId="40" xfId="0" applyFont="1" applyFill="1" applyBorder="1"/>
    <xf numFmtId="0" fontId="34" fillId="20" borderId="11" xfId="0" applyFont="1" applyFill="1" applyBorder="1" applyAlignment="1">
      <alignment horizontal="center"/>
    </xf>
    <xf numFmtId="164" fontId="34" fillId="20" borderId="11" xfId="6" applyFont="1" applyFill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52" xfId="0" applyFont="1" applyBorder="1" applyAlignment="1">
      <alignment horizontal="left"/>
    </xf>
    <xf numFmtId="164" fontId="34" fillId="0" borderId="52" xfId="6" applyFont="1" applyBorder="1" applyAlignment="1">
      <alignment horizontal="center"/>
    </xf>
    <xf numFmtId="164" fontId="34" fillId="0" borderId="53" xfId="6" applyFont="1" applyBorder="1" applyAlignment="1">
      <alignment horizontal="center"/>
    </xf>
    <xf numFmtId="164" fontId="34" fillId="0" borderId="54" xfId="6" applyFont="1" applyBorder="1" applyAlignment="1">
      <alignment horizontal="center"/>
    </xf>
    <xf numFmtId="0" fontId="34" fillId="0" borderId="29" xfId="0" applyFont="1" applyBorder="1" applyAlignment="1">
      <alignment horizontal="center" vertical="top"/>
    </xf>
    <xf numFmtId="0" fontId="34" fillId="0" borderId="30" xfId="0" applyFont="1" applyBorder="1" applyAlignment="1">
      <alignment horizontal="left" vertical="top"/>
    </xf>
    <xf numFmtId="10" fontId="47" fillId="0" borderId="30" xfId="5" applyNumberFormat="1" applyFont="1" applyBorder="1" applyAlignment="1">
      <alignment horizontal="center" vertical="top"/>
    </xf>
    <xf numFmtId="9" fontId="47" fillId="0" borderId="30" xfId="5" applyFont="1" applyBorder="1" applyAlignment="1">
      <alignment vertical="top"/>
    </xf>
    <xf numFmtId="9" fontId="34" fillId="0" borderId="31" xfId="6" applyNumberFormat="1" applyFont="1" applyBorder="1" applyAlignment="1">
      <alignment vertical="top"/>
    </xf>
    <xf numFmtId="0" fontId="34" fillId="0" borderId="32" xfId="0" applyFont="1" applyBorder="1" applyAlignment="1">
      <alignment horizontal="center" vertical="top"/>
    </xf>
    <xf numFmtId="0" fontId="34" fillId="0" borderId="33" xfId="0" applyFont="1" applyBorder="1" applyAlignment="1">
      <alignment horizontal="left" vertical="top"/>
    </xf>
    <xf numFmtId="164" fontId="47" fillId="0" borderId="33" xfId="6" applyFont="1" applyBorder="1" applyAlignment="1">
      <alignment horizontal="center" vertical="top"/>
    </xf>
    <xf numFmtId="164" fontId="47" fillId="38" borderId="33" xfId="6" applyFont="1" applyFill="1" applyBorder="1" applyAlignment="1">
      <alignment vertical="top"/>
    </xf>
    <xf numFmtId="164" fontId="34" fillId="0" borderId="34" xfId="6" applyFont="1" applyBorder="1" applyAlignment="1">
      <alignment vertical="top"/>
    </xf>
    <xf numFmtId="0" fontId="34" fillId="39" borderId="58" xfId="0" applyFont="1" applyFill="1" applyBorder="1" applyAlignment="1">
      <alignment horizontal="center" vertical="top"/>
    </xf>
    <xf numFmtId="0" fontId="34" fillId="39" borderId="59" xfId="0" applyFont="1" applyFill="1" applyBorder="1" applyAlignment="1">
      <alignment vertical="top"/>
    </xf>
    <xf numFmtId="164" fontId="47" fillId="39" borderId="59" xfId="6" applyFont="1" applyFill="1" applyBorder="1" applyAlignment="1">
      <alignment horizontal="center" vertical="top"/>
    </xf>
    <xf numFmtId="9" fontId="47" fillId="39" borderId="59" xfId="6" applyNumberFormat="1" applyFont="1" applyFill="1" applyBorder="1" applyAlignment="1">
      <alignment horizontal="center" vertical="top"/>
    </xf>
    <xf numFmtId="9" fontId="47" fillId="39" borderId="60" xfId="6" applyNumberFormat="1" applyFont="1" applyFill="1" applyBorder="1" applyAlignment="1">
      <alignment horizontal="center" vertical="top"/>
    </xf>
    <xf numFmtId="164" fontId="34" fillId="39" borderId="61" xfId="6" applyFont="1" applyFill="1" applyBorder="1" applyAlignment="1">
      <alignment vertical="top"/>
    </xf>
    <xf numFmtId="0" fontId="34" fillId="0" borderId="80" xfId="0" applyFont="1" applyBorder="1" applyAlignment="1">
      <alignment horizontal="center" vertical="top"/>
    </xf>
    <xf numFmtId="0" fontId="34" fillId="0" borderId="81" xfId="0" applyFont="1" applyBorder="1" applyAlignment="1">
      <alignment horizontal="left" vertical="top" wrapText="1"/>
    </xf>
    <xf numFmtId="0" fontId="34" fillId="0" borderId="33" xfId="0" applyFont="1" applyBorder="1" applyAlignment="1">
      <alignment horizontal="left" vertical="top" wrapText="1"/>
    </xf>
    <xf numFmtId="164" fontId="47" fillId="0" borderId="33" xfId="6" applyFont="1" applyFill="1" applyBorder="1" applyAlignment="1">
      <alignment vertical="top"/>
    </xf>
    <xf numFmtId="0" fontId="34" fillId="0" borderId="55" xfId="0" applyFont="1" applyBorder="1" applyAlignment="1">
      <alignment horizontal="center" vertical="top"/>
    </xf>
    <xf numFmtId="0" fontId="34" fillId="0" borderId="56" xfId="0" applyFont="1" applyBorder="1" applyAlignment="1">
      <alignment vertical="top" wrapText="1"/>
    </xf>
    <xf numFmtId="164" fontId="47" fillId="0" borderId="56" xfId="6" applyFont="1" applyBorder="1" applyAlignment="1">
      <alignment horizontal="center" vertical="top"/>
    </xf>
    <xf numFmtId="10" fontId="47" fillId="0" borderId="36" xfId="6" applyNumberFormat="1" applyFont="1" applyBorder="1" applyAlignment="1">
      <alignment horizontal="center" vertical="top"/>
    </xf>
    <xf numFmtId="164" fontId="34" fillId="0" borderId="57" xfId="6" applyFont="1" applyBorder="1" applyAlignment="1">
      <alignment vertical="top"/>
    </xf>
    <xf numFmtId="0" fontId="34" fillId="0" borderId="30" xfId="0" applyFont="1" applyBorder="1" applyAlignment="1">
      <alignment horizontal="left" vertical="top" wrapText="1"/>
    </xf>
    <xf numFmtId="43" fontId="47" fillId="0" borderId="0" xfId="0" applyNumberFormat="1" applyFont="1"/>
    <xf numFmtId="9" fontId="47" fillId="0" borderId="36" xfId="5" applyFont="1" applyBorder="1" applyAlignment="1">
      <alignment horizontal="center" vertical="top"/>
    </xf>
    <xf numFmtId="0" fontId="34" fillId="0" borderId="58" xfId="0" applyFont="1" applyBorder="1" applyAlignment="1">
      <alignment horizontal="center" vertical="top"/>
    </xf>
    <xf numFmtId="0" fontId="47" fillId="0" borderId="59" xfId="0" applyFont="1" applyBorder="1" applyAlignment="1">
      <alignment vertical="top"/>
    </xf>
    <xf numFmtId="164" fontId="47" fillId="0" borderId="59" xfId="6" applyFont="1" applyBorder="1" applyAlignment="1">
      <alignment vertical="top"/>
    </xf>
    <xf numFmtId="9" fontId="47" fillId="0" borderId="59" xfId="6" applyNumberFormat="1" applyFont="1" applyBorder="1" applyAlignment="1">
      <alignment horizontal="center" vertical="top"/>
    </xf>
    <xf numFmtId="9" fontId="47" fillId="0" borderId="60" xfId="6" applyNumberFormat="1" applyFont="1" applyBorder="1" applyAlignment="1">
      <alignment horizontal="center" vertical="top"/>
    </xf>
    <xf numFmtId="164" fontId="34" fillId="0" borderId="61" xfId="6" applyFont="1" applyBorder="1" applyAlignment="1">
      <alignment vertical="top"/>
    </xf>
    <xf numFmtId="4" fontId="34" fillId="20" borderId="22" xfId="4" applyNumberFormat="1" applyFont="1" applyFill="1" applyBorder="1" applyAlignment="1">
      <alignment vertical="center"/>
    </xf>
    <xf numFmtId="0" fontId="34" fillId="20" borderId="22" xfId="0" applyFont="1" applyFill="1" applyBorder="1" applyAlignment="1">
      <alignment horizontal="left" vertical="center"/>
    </xf>
    <xf numFmtId="43" fontId="37" fillId="0" borderId="13" xfId="104" applyNumberFormat="1" applyFont="1" applyFill="1" applyBorder="1" applyAlignment="1">
      <alignment horizontal="center" vertical="center" wrapText="1"/>
    </xf>
    <xf numFmtId="0" fontId="37" fillId="20" borderId="0" xfId="104" applyFont="1" applyFill="1" applyBorder="1" applyAlignment="1">
      <alignment horizontal="center" vertical="center" wrapText="1"/>
    </xf>
    <xf numFmtId="0" fontId="37" fillId="20" borderId="0" xfId="104" applyFont="1" applyFill="1" applyBorder="1" applyAlignment="1">
      <alignment horizontal="justify" vertical="center" wrapText="1"/>
    </xf>
    <xf numFmtId="169" fontId="37" fillId="20" borderId="0" xfId="104" applyNumberFormat="1" applyFont="1" applyFill="1" applyBorder="1" applyAlignment="1">
      <alignment horizontal="center" vertical="center" wrapText="1"/>
    </xf>
    <xf numFmtId="2" fontId="37" fillId="20" borderId="0" xfId="104" applyNumberFormat="1" applyFont="1" applyFill="1" applyBorder="1" applyAlignment="1">
      <alignment horizontal="right" vertical="center" wrapText="1"/>
    </xf>
    <xf numFmtId="43" fontId="37" fillId="20" borderId="0" xfId="104" applyNumberFormat="1" applyFont="1" applyFill="1" applyBorder="1" applyAlignment="1">
      <alignment horizontal="right" vertical="center" wrapText="1"/>
    </xf>
    <xf numFmtId="10" fontId="49" fillId="19" borderId="26" xfId="5" applyNumberFormat="1" applyFont="1" applyFill="1" applyBorder="1" applyAlignment="1" applyProtection="1">
      <alignment horizontal="center" vertical="top" wrapText="1"/>
    </xf>
    <xf numFmtId="0" fontId="33" fillId="0" borderId="62" xfId="0" applyFont="1" applyFill="1" applyBorder="1" applyAlignment="1">
      <alignment vertical="top"/>
    </xf>
    <xf numFmtId="43" fontId="37" fillId="0" borderId="11" xfId="104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3" fontId="36" fillId="32" borderId="12" xfId="4" applyNumberFormat="1" applyFont="1" applyFill="1" applyBorder="1" applyAlignment="1">
      <alignment horizontal="right" vertical="center" wrapText="1"/>
    </xf>
    <xf numFmtId="164" fontId="38" fillId="32" borderId="12" xfId="6" applyFont="1" applyFill="1" applyBorder="1" applyAlignment="1">
      <alignment horizontal="center" vertical="center" wrapText="1"/>
    </xf>
    <xf numFmtId="4" fontId="33" fillId="20" borderId="84" xfId="4" applyNumberFormat="1" applyFont="1" applyFill="1" applyBorder="1" applyAlignment="1">
      <alignment vertical="center"/>
    </xf>
    <xf numFmtId="0" fontId="51" fillId="20" borderId="0" xfId="0" applyFont="1" applyFill="1" applyBorder="1"/>
    <xf numFmtId="177" fontId="51" fillId="20" borderId="0" xfId="0" applyNumberFormat="1" applyFont="1" applyFill="1" applyBorder="1"/>
    <xf numFmtId="0" fontId="51" fillId="20" borderId="85" xfId="0" applyFont="1" applyFill="1" applyBorder="1"/>
    <xf numFmtId="0" fontId="51" fillId="0" borderId="0" xfId="0" applyFont="1"/>
    <xf numFmtId="0" fontId="33" fillId="20" borderId="84" xfId="0" applyFont="1" applyFill="1" applyBorder="1" applyAlignment="1">
      <alignment horizontal="left" vertical="center"/>
    </xf>
    <xf numFmtId="0" fontId="38" fillId="20" borderId="0" xfId="0" applyFont="1" applyFill="1" applyBorder="1" applyAlignment="1">
      <alignment horizontal="left" vertical="center"/>
    </xf>
    <xf numFmtId="0" fontId="52" fillId="0" borderId="12" xfId="0" applyFont="1" applyBorder="1" applyAlignment="1">
      <alignment horizontal="center" vertical="center"/>
    </xf>
    <xf numFmtId="0" fontId="37" fillId="20" borderId="13" xfId="4" applyFont="1" applyFill="1" applyBorder="1" applyAlignment="1">
      <alignment horizontal="center" vertical="center" wrapText="1"/>
    </xf>
    <xf numFmtId="0" fontId="37" fillId="20" borderId="62" xfId="4" applyFont="1" applyFill="1" applyBorder="1" applyAlignment="1">
      <alignment horizontal="center" vertical="center" wrapText="1"/>
    </xf>
    <xf numFmtId="0" fontId="36" fillId="20" borderId="12" xfId="4" applyFont="1" applyFill="1" applyBorder="1" applyAlignment="1">
      <alignment horizontal="left" vertical="center" wrapText="1"/>
    </xf>
    <xf numFmtId="177" fontId="37" fillId="20" borderId="62" xfId="4" applyNumberFormat="1" applyFont="1" applyFill="1" applyBorder="1" applyAlignment="1">
      <alignment horizontal="center" vertical="center" wrapText="1"/>
    </xf>
    <xf numFmtId="4" fontId="37" fillId="20" borderId="62" xfId="4" applyNumberFormat="1" applyFont="1" applyFill="1" applyBorder="1" applyAlignment="1">
      <alignment horizontal="center" vertical="center" wrapText="1"/>
    </xf>
    <xf numFmtId="4" fontId="37" fillId="20" borderId="15" xfId="4" applyNumberFormat="1" applyFont="1" applyFill="1" applyBorder="1" applyAlignment="1">
      <alignment horizontal="center" vertical="center" wrapText="1"/>
    </xf>
    <xf numFmtId="0" fontId="33" fillId="0" borderId="0" xfId="3" applyFont="1" applyBorder="1" applyAlignment="1">
      <alignment horizontal="center" vertical="center"/>
    </xf>
    <xf numFmtId="0" fontId="37" fillId="0" borderId="0" xfId="4" applyFont="1" applyFill="1" applyBorder="1" applyAlignment="1">
      <alignment horizontal="left" vertical="center" wrapText="1"/>
    </xf>
    <xf numFmtId="177" fontId="37" fillId="0" borderId="0" xfId="4" applyNumberFormat="1" applyFont="1" applyFill="1" applyBorder="1" applyAlignment="1">
      <alignment horizontal="center" vertical="center" wrapText="1"/>
    </xf>
    <xf numFmtId="4" fontId="37" fillId="0" borderId="0" xfId="4" applyNumberFormat="1" applyFont="1" applyFill="1" applyBorder="1" applyAlignment="1">
      <alignment horizontal="center" vertical="center" wrapText="1"/>
    </xf>
    <xf numFmtId="0" fontId="37" fillId="40" borderId="12" xfId="4" applyFont="1" applyFill="1" applyBorder="1" applyAlignment="1">
      <alignment horizontal="center" vertical="center" wrapText="1"/>
    </xf>
    <xf numFmtId="0" fontId="37" fillId="40" borderId="12" xfId="4" applyFont="1" applyFill="1" applyBorder="1" applyAlignment="1">
      <alignment horizontal="left" vertical="center" wrapText="1"/>
    </xf>
    <xf numFmtId="177" fontId="37" fillId="40" borderId="12" xfId="4" applyNumberFormat="1" applyFont="1" applyFill="1" applyBorder="1" applyAlignment="1">
      <alignment horizontal="center" vertical="center" wrapText="1"/>
    </xf>
    <xf numFmtId="4" fontId="37" fillId="40" borderId="12" xfId="4" applyNumberFormat="1" applyFont="1" applyFill="1" applyBorder="1" applyAlignment="1">
      <alignment horizontal="center" vertical="center" wrapText="1"/>
    </xf>
    <xf numFmtId="43" fontId="33" fillId="33" borderId="12" xfId="8" applyFont="1" applyFill="1" applyBorder="1" applyAlignment="1" applyProtection="1">
      <alignment horizontal="right" vertical="center"/>
    </xf>
    <xf numFmtId="4" fontId="36" fillId="40" borderId="64" xfId="4" applyNumberFormat="1" applyFont="1" applyFill="1" applyBorder="1" applyAlignment="1">
      <alignment horizontal="center" vertical="center" wrapText="1"/>
    </xf>
    <xf numFmtId="0" fontId="52" fillId="0" borderId="0" xfId="0" applyFont="1"/>
    <xf numFmtId="4" fontId="37" fillId="41" borderId="13" xfId="4" applyNumberFormat="1" applyFont="1" applyFill="1" applyBorder="1" applyAlignment="1">
      <alignment horizontal="center" vertical="center" wrapText="1"/>
    </xf>
    <xf numFmtId="0" fontId="33" fillId="0" borderId="0" xfId="3" applyFont="1" applyFill="1" applyBorder="1" applyAlignment="1">
      <alignment horizontal="center" vertical="center"/>
    </xf>
    <xf numFmtId="0" fontId="52" fillId="42" borderId="13" xfId="0" applyFont="1" applyFill="1" applyBorder="1" applyAlignment="1">
      <alignment horizontal="center"/>
    </xf>
    <xf numFmtId="0" fontId="33" fillId="42" borderId="62" xfId="3" applyFont="1" applyFill="1" applyBorder="1" applyAlignment="1" applyProtection="1">
      <alignment horizontal="center" vertical="center"/>
    </xf>
    <xf numFmtId="0" fontId="38" fillId="42" borderId="62" xfId="3" applyFont="1" applyFill="1" applyBorder="1" applyAlignment="1" applyProtection="1">
      <alignment horizontal="center" vertical="justify" wrapText="1"/>
    </xf>
    <xf numFmtId="177" fontId="33" fillId="42" borderId="62" xfId="8" applyNumberFormat="1" applyFont="1" applyFill="1" applyBorder="1" applyAlignment="1" applyProtection="1">
      <alignment horizontal="right" vertical="center"/>
    </xf>
    <xf numFmtId="4" fontId="37" fillId="43" borderId="62" xfId="4" applyNumberFormat="1" applyFont="1" applyFill="1" applyBorder="1" applyAlignment="1">
      <alignment horizontal="center" vertical="center" wrapText="1"/>
    </xf>
    <xf numFmtId="43" fontId="33" fillId="42" borderId="62" xfId="8" applyFont="1" applyFill="1" applyBorder="1" applyAlignment="1" applyProtection="1">
      <alignment horizontal="right" vertical="center"/>
    </xf>
    <xf numFmtId="43" fontId="33" fillId="42" borderId="15" xfId="8" applyFont="1" applyFill="1" applyBorder="1" applyAlignment="1" applyProtection="1">
      <alignment horizontal="right" vertical="center"/>
    </xf>
    <xf numFmtId="0" fontId="52" fillId="0" borderId="25" xfId="0" applyFont="1" applyBorder="1" applyAlignment="1">
      <alignment horizontal="center" vertical="center"/>
    </xf>
    <xf numFmtId="0" fontId="37" fillId="40" borderId="11" xfId="4" applyFont="1" applyFill="1" applyBorder="1" applyAlignment="1">
      <alignment horizontal="center" vertical="center" wrapText="1"/>
    </xf>
    <xf numFmtId="0" fontId="37" fillId="40" borderId="11" xfId="4" applyFont="1" applyFill="1" applyBorder="1" applyAlignment="1">
      <alignment horizontal="left" vertical="center" wrapText="1"/>
    </xf>
    <xf numFmtId="177" fontId="37" fillId="40" borderId="11" xfId="4" applyNumberFormat="1" applyFont="1" applyFill="1" applyBorder="1" applyAlignment="1">
      <alignment horizontal="center" vertical="center" wrapText="1"/>
    </xf>
    <xf numFmtId="4" fontId="37" fillId="40" borderId="11" xfId="4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Fill="1"/>
    <xf numFmtId="43" fontId="33" fillId="33" borderId="97" xfId="8" applyFont="1" applyFill="1" applyBorder="1" applyAlignment="1" applyProtection="1">
      <alignment horizontal="right" vertical="center"/>
    </xf>
    <xf numFmtId="0" fontId="33" fillId="0" borderId="12" xfId="3" applyFont="1" applyFill="1" applyBorder="1" applyAlignment="1" applyProtection="1">
      <alignment horizontal="center" vertical="center"/>
    </xf>
    <xf numFmtId="0" fontId="37" fillId="41" borderId="12" xfId="4" applyFont="1" applyFill="1" applyBorder="1" applyAlignment="1">
      <alignment horizontal="left" vertical="center" wrapText="1"/>
    </xf>
    <xf numFmtId="0" fontId="37" fillId="41" borderId="12" xfId="4" applyFont="1" applyFill="1" applyBorder="1" applyAlignment="1">
      <alignment horizontal="center" vertical="center" wrapText="1"/>
    </xf>
    <xf numFmtId="177" fontId="37" fillId="41" borderId="12" xfId="4" applyNumberFormat="1" applyFont="1" applyFill="1" applyBorder="1" applyAlignment="1">
      <alignment horizontal="center" vertical="center" wrapText="1"/>
    </xf>
    <xf numFmtId="4" fontId="37" fillId="41" borderId="12" xfId="4" applyNumberFormat="1" applyFont="1" applyFill="1" applyBorder="1" applyAlignment="1">
      <alignment horizontal="center" vertical="center" wrapText="1"/>
    </xf>
    <xf numFmtId="0" fontId="51" fillId="0" borderId="0" xfId="0" applyFont="1" applyBorder="1"/>
    <xf numFmtId="0" fontId="41" fillId="0" borderId="0" xfId="3" applyFont="1" applyFill="1" applyBorder="1" applyAlignment="1" applyProtection="1">
      <alignment horizontal="left" vertical="justify" wrapText="1"/>
    </xf>
    <xf numFmtId="0" fontId="51" fillId="0" borderId="85" xfId="0" applyFont="1" applyBorder="1"/>
    <xf numFmtId="0" fontId="51" fillId="0" borderId="0" xfId="0" applyFont="1" applyFill="1" applyBorder="1"/>
    <xf numFmtId="0" fontId="33" fillId="42" borderId="12" xfId="3" applyFont="1" applyFill="1" applyBorder="1" applyAlignment="1" applyProtection="1">
      <alignment horizontal="center" vertical="center"/>
    </xf>
    <xf numFmtId="0" fontId="33" fillId="42" borderId="101" xfId="3" applyFont="1" applyFill="1" applyBorder="1" applyAlignment="1" applyProtection="1">
      <alignment horizontal="center" vertical="center"/>
    </xf>
    <xf numFmtId="0" fontId="38" fillId="42" borderId="102" xfId="3" applyFont="1" applyFill="1" applyBorder="1" applyAlignment="1" applyProtection="1">
      <alignment horizontal="center" vertical="justify" wrapText="1"/>
    </xf>
    <xf numFmtId="0" fontId="33" fillId="42" borderId="102" xfId="3" applyFont="1" applyFill="1" applyBorder="1" applyAlignment="1" applyProtection="1">
      <alignment horizontal="center" vertical="center"/>
    </xf>
    <xf numFmtId="177" fontId="33" fillId="42" borderId="102" xfId="8" applyNumberFormat="1" applyFont="1" applyFill="1" applyBorder="1" applyAlignment="1" applyProtection="1">
      <alignment horizontal="right" vertical="center"/>
    </xf>
    <xf numFmtId="4" fontId="37" fillId="43" borderId="11" xfId="4" applyNumberFormat="1" applyFont="1" applyFill="1" applyBorder="1" applyAlignment="1">
      <alignment horizontal="center" vertical="center" wrapText="1"/>
    </xf>
    <xf numFmtId="43" fontId="33" fillId="42" borderId="103" xfId="8" applyFont="1" applyFill="1" applyBorder="1" applyAlignment="1" applyProtection="1">
      <alignment horizontal="right" vertical="center"/>
    </xf>
    <xf numFmtId="43" fontId="33" fillId="42" borderId="104" xfId="8" applyFont="1" applyFill="1" applyBorder="1" applyAlignment="1" applyProtection="1">
      <alignment horizontal="right" vertical="center"/>
    </xf>
    <xf numFmtId="0" fontId="37" fillId="40" borderId="12" xfId="4" applyFont="1" applyFill="1" applyBorder="1" applyAlignment="1">
      <alignment horizontal="justify" vertical="center" wrapText="1"/>
    </xf>
    <xf numFmtId="43" fontId="33" fillId="0" borderId="0" xfId="8" applyFont="1" applyFill="1" applyBorder="1" applyAlignment="1" applyProtection="1">
      <alignment horizontal="right" vertical="center"/>
    </xf>
    <xf numFmtId="4" fontId="37" fillId="41" borderId="97" xfId="4" applyNumberFormat="1" applyFont="1" applyFill="1" applyBorder="1" applyAlignment="1">
      <alignment horizontal="center" vertical="center" wrapText="1"/>
    </xf>
    <xf numFmtId="0" fontId="37" fillId="41" borderId="0" xfId="4" applyFont="1" applyFill="1" applyBorder="1" applyAlignment="1">
      <alignment horizontal="center" vertical="center" wrapText="1"/>
    </xf>
    <xf numFmtId="0" fontId="37" fillId="41" borderId="0" xfId="4" applyFont="1" applyFill="1" applyBorder="1" applyAlignment="1">
      <alignment horizontal="left" vertical="center" wrapText="1"/>
    </xf>
    <xf numFmtId="177" fontId="37" fillId="41" borderId="0" xfId="4" applyNumberFormat="1" applyFont="1" applyFill="1" applyBorder="1" applyAlignment="1">
      <alignment horizontal="center" vertical="center" wrapText="1"/>
    </xf>
    <xf numFmtId="4" fontId="37" fillId="41" borderId="0" xfId="4" applyNumberFormat="1" applyFont="1" applyFill="1" applyBorder="1" applyAlignment="1">
      <alignment horizontal="center" vertical="center" wrapText="1"/>
    </xf>
    <xf numFmtId="0" fontId="41" fillId="0" borderId="33" xfId="3" applyFont="1" applyFill="1" applyBorder="1" applyAlignment="1" applyProtection="1">
      <alignment horizontal="left" vertical="justify" wrapText="1"/>
    </xf>
    <xf numFmtId="4" fontId="37" fillId="41" borderId="85" xfId="4" applyNumberFormat="1" applyFont="1" applyFill="1" applyBorder="1" applyAlignment="1">
      <alignment horizontal="center" vertical="center" wrapText="1"/>
    </xf>
    <xf numFmtId="0" fontId="33" fillId="0" borderId="0" xfId="3" applyFont="1" applyFill="1" applyBorder="1" applyAlignment="1" applyProtection="1">
      <alignment horizontal="center" vertical="center"/>
    </xf>
    <xf numFmtId="0" fontId="33" fillId="0" borderId="0" xfId="3" applyFont="1" applyAlignment="1" applyProtection="1">
      <alignment vertical="center"/>
    </xf>
    <xf numFmtId="177" fontId="33" fillId="0" borderId="0" xfId="3" applyNumberFormat="1" applyFont="1" applyAlignment="1" applyProtection="1">
      <alignment vertical="center"/>
    </xf>
    <xf numFmtId="177" fontId="51" fillId="0" borderId="0" xfId="0" applyNumberFormat="1" applyFont="1"/>
    <xf numFmtId="0" fontId="33" fillId="0" borderId="0" xfId="0" applyFont="1" applyBorder="1" applyProtection="1"/>
    <xf numFmtId="0" fontId="34" fillId="0" borderId="0" xfId="0" applyFont="1" applyBorder="1" applyProtection="1"/>
    <xf numFmtId="0" fontId="44" fillId="0" borderId="0" xfId="0" applyFont="1" applyBorder="1" applyProtection="1"/>
    <xf numFmtId="0" fontId="53" fillId="0" borderId="0" xfId="0" applyFont="1" applyBorder="1" applyProtection="1"/>
    <xf numFmtId="0" fontId="44" fillId="0" borderId="12" xfId="0" applyNumberFormat="1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44" fillId="0" borderId="12" xfId="0" applyFont="1" applyFill="1" applyBorder="1" applyAlignment="1" applyProtection="1">
      <alignment horizontal="center" vertical="center" wrapText="1"/>
    </xf>
    <xf numFmtId="4" fontId="44" fillId="0" borderId="12" xfId="6" applyNumberFormat="1" applyFont="1" applyFill="1" applyBorder="1" applyAlignment="1" applyProtection="1">
      <alignment vertical="center" wrapText="1"/>
    </xf>
    <xf numFmtId="164" fontId="33" fillId="0" borderId="12" xfId="6" applyFont="1" applyBorder="1" applyAlignment="1">
      <alignment horizontal="center" vertical="center" wrapText="1"/>
    </xf>
    <xf numFmtId="164" fontId="44" fillId="20" borderId="13" xfId="6" applyNumberFormat="1" applyFont="1" applyFill="1" applyBorder="1" applyAlignment="1" applyProtection="1">
      <alignment horizontal="center" vertical="center" wrapText="1"/>
    </xf>
    <xf numFmtId="164" fontId="38" fillId="0" borderId="12" xfId="6" applyFont="1" applyBorder="1" applyAlignment="1">
      <alignment horizontal="center" vertical="center" wrapText="1"/>
    </xf>
    <xf numFmtId="0" fontId="44" fillId="0" borderId="0" xfId="0" applyFont="1" applyBorder="1" applyAlignment="1" applyProtection="1">
      <alignment vertical="center" wrapText="1"/>
    </xf>
    <xf numFmtId="44" fontId="44" fillId="0" borderId="0" xfId="0" applyNumberFormat="1" applyFont="1" applyBorder="1" applyAlignment="1" applyProtection="1">
      <alignment vertical="center" wrapText="1"/>
    </xf>
    <xf numFmtId="4" fontId="33" fillId="0" borderId="12" xfId="6" applyNumberFormat="1" applyFont="1" applyFill="1" applyBorder="1" applyAlignment="1" applyProtection="1">
      <alignment vertical="center" wrapText="1"/>
    </xf>
    <xf numFmtId="0" fontId="33" fillId="0" borderId="12" xfId="0" applyFont="1" applyBorder="1" applyProtection="1"/>
    <xf numFmtId="0" fontId="33" fillId="0" borderId="12" xfId="0" applyFont="1" applyBorder="1" applyAlignment="1" applyProtection="1">
      <alignment horizontal="center"/>
    </xf>
    <xf numFmtId="164" fontId="33" fillId="0" borderId="12" xfId="0" applyNumberFormat="1" applyFont="1" applyBorder="1" applyAlignment="1" applyProtection="1">
      <alignment horizontal="right"/>
    </xf>
    <xf numFmtId="164" fontId="44" fillId="0" borderId="12" xfId="6" applyFont="1" applyBorder="1" applyProtection="1"/>
    <xf numFmtId="164" fontId="44" fillId="0" borderId="12" xfId="0" applyNumberFormat="1" applyFont="1" applyBorder="1" applyAlignment="1" applyProtection="1"/>
    <xf numFmtId="164" fontId="44" fillId="0" borderId="12" xfId="6" applyFont="1" applyBorder="1" applyAlignment="1" applyProtection="1"/>
    <xf numFmtId="0" fontId="33" fillId="0" borderId="0" xfId="0" applyFont="1" applyProtection="1"/>
    <xf numFmtId="164" fontId="33" fillId="0" borderId="0" xfId="0" applyNumberFormat="1" applyFont="1" applyProtection="1"/>
    <xf numFmtId="164" fontId="44" fillId="0" borderId="0" xfId="6" applyFont="1" applyProtection="1"/>
    <xf numFmtId="164" fontId="44" fillId="0" borderId="0" xfId="0" applyNumberFormat="1" applyFont="1" applyAlignment="1" applyProtection="1"/>
    <xf numFmtId="164" fontId="44" fillId="0" borderId="0" xfId="6" applyFont="1" applyAlignment="1" applyProtection="1"/>
    <xf numFmtId="164" fontId="44" fillId="0" borderId="0" xfId="0" applyNumberFormat="1" applyFont="1" applyProtection="1"/>
    <xf numFmtId="0" fontId="33" fillId="20" borderId="65" xfId="0" applyFont="1" applyFill="1" applyBorder="1" applyProtection="1"/>
    <xf numFmtId="0" fontId="33" fillId="20" borderId="66" xfId="0" applyFont="1" applyFill="1" applyBorder="1" applyProtection="1"/>
    <xf numFmtId="0" fontId="33" fillId="20" borderId="67" xfId="0" applyFont="1" applyFill="1" applyBorder="1" applyProtection="1"/>
    <xf numFmtId="0" fontId="33" fillId="20" borderId="68" xfId="0" applyFont="1" applyFill="1" applyBorder="1" applyProtection="1"/>
    <xf numFmtId="0" fontId="33" fillId="20" borderId="70" xfId="0" applyFont="1" applyFill="1" applyBorder="1" applyProtection="1"/>
    <xf numFmtId="0" fontId="33" fillId="20" borderId="22" xfId="0" applyFont="1" applyFill="1" applyBorder="1" applyProtection="1"/>
    <xf numFmtId="0" fontId="34" fillId="20" borderId="0" xfId="0" applyFont="1" applyFill="1" applyBorder="1" applyAlignment="1" applyProtection="1">
      <alignment horizontal="center" vertical="center"/>
    </xf>
    <xf numFmtId="0" fontId="33" fillId="20" borderId="23" xfId="0" applyFont="1" applyFill="1" applyBorder="1" applyProtection="1"/>
    <xf numFmtId="0" fontId="38" fillId="20" borderId="0" xfId="0" applyFont="1" applyFill="1" applyBorder="1" applyAlignment="1" applyProtection="1">
      <alignment vertical="center"/>
    </xf>
    <xf numFmtId="0" fontId="46" fillId="20" borderId="0" xfId="0" applyFont="1" applyFill="1" applyBorder="1" applyAlignment="1" applyProtection="1">
      <alignment vertical="center"/>
    </xf>
    <xf numFmtId="0" fontId="33" fillId="20" borderId="0" xfId="0" applyFont="1" applyFill="1" applyBorder="1" applyProtection="1"/>
    <xf numFmtId="0" fontId="38" fillId="34" borderId="12" xfId="0" applyFont="1" applyFill="1" applyBorder="1" applyAlignment="1" applyProtection="1">
      <alignment horizontal="center"/>
      <protection locked="0"/>
    </xf>
    <xf numFmtId="0" fontId="56" fillId="0" borderId="0" xfId="0" applyFont="1" applyProtection="1"/>
    <xf numFmtId="0" fontId="57" fillId="20" borderId="0" xfId="0" applyFont="1" applyFill="1" applyBorder="1" applyAlignment="1" applyProtection="1">
      <alignment vertical="center"/>
    </xf>
    <xf numFmtId="0" fontId="33" fillId="20" borderId="0" xfId="0" applyFont="1" applyFill="1" applyBorder="1" applyAlignment="1" applyProtection="1">
      <alignment vertical="center"/>
    </xf>
    <xf numFmtId="0" fontId="33" fillId="20" borderId="0" xfId="0" applyFont="1" applyFill="1" applyBorder="1" applyAlignment="1" applyProtection="1">
      <alignment horizontal="center" vertical="center"/>
    </xf>
    <xf numFmtId="0" fontId="58" fillId="0" borderId="0" xfId="0" applyFont="1" applyProtection="1"/>
    <xf numFmtId="10" fontId="55" fillId="20" borderId="12" xfId="5" applyNumberFormat="1" applyFont="1" applyFill="1" applyBorder="1" applyAlignment="1" applyProtection="1">
      <alignment horizontal="center" vertical="center" wrapText="1"/>
      <protection locked="0"/>
    </xf>
    <xf numFmtId="0" fontId="38" fillId="20" borderId="0" xfId="0" quotePrefix="1" applyFont="1" applyFill="1" applyBorder="1" applyAlignment="1" applyProtection="1">
      <alignment vertical="center"/>
    </xf>
    <xf numFmtId="10" fontId="38" fillId="20" borderId="0" xfId="0" applyNumberFormat="1" applyFont="1" applyFill="1" applyBorder="1" applyAlignment="1" applyProtection="1">
      <alignment horizontal="center" vertical="center"/>
    </xf>
    <xf numFmtId="10" fontId="55" fillId="20" borderId="0" xfId="5" applyNumberFormat="1" applyFont="1" applyFill="1" applyBorder="1" applyAlignment="1" applyProtection="1">
      <alignment vertical="center" wrapText="1"/>
    </xf>
    <xf numFmtId="10" fontId="38" fillId="20" borderId="0" xfId="5" applyNumberFormat="1" applyFont="1" applyFill="1" applyBorder="1" applyAlignment="1" applyProtection="1">
      <alignment vertical="center" wrapText="1"/>
    </xf>
    <xf numFmtId="173" fontId="59" fillId="20" borderId="0" xfId="0" applyNumberFormat="1" applyFont="1" applyFill="1" applyBorder="1" applyProtection="1"/>
    <xf numFmtId="10" fontId="33" fillId="0" borderId="0" xfId="5" applyNumberFormat="1" applyFont="1" applyProtection="1"/>
    <xf numFmtId="0" fontId="33" fillId="20" borderId="43" xfId="0" applyFont="1" applyFill="1" applyBorder="1" applyProtection="1"/>
    <xf numFmtId="0" fontId="33" fillId="20" borderId="45" xfId="0" applyFont="1" applyFill="1" applyBorder="1" applyProtection="1"/>
    <xf numFmtId="0" fontId="33" fillId="20" borderId="44" xfId="0" applyFont="1" applyFill="1" applyBorder="1" applyProtection="1"/>
    <xf numFmtId="0" fontId="38" fillId="20" borderId="0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/>
    </xf>
    <xf numFmtId="0" fontId="33" fillId="20" borderId="0" xfId="0" applyFont="1" applyFill="1" applyBorder="1" applyAlignment="1" applyProtection="1">
      <alignment horizontal="left" vertical="center" wrapText="1"/>
    </xf>
    <xf numFmtId="10" fontId="33" fillId="20" borderId="0" xfId="5" applyNumberFormat="1" applyFont="1" applyFill="1" applyBorder="1" applyAlignment="1" applyProtection="1">
      <alignment horizontal="center" vertical="center" wrapText="1"/>
    </xf>
    <xf numFmtId="10" fontId="56" fillId="20" borderId="64" xfId="5" applyNumberFormat="1" applyFont="1" applyFill="1" applyBorder="1" applyAlignment="1" applyProtection="1">
      <alignment horizontal="center" vertical="center" wrapText="1"/>
      <protection locked="0"/>
    </xf>
    <xf numFmtId="10" fontId="33" fillId="20" borderId="23" xfId="0" applyNumberFormat="1" applyFont="1" applyFill="1" applyBorder="1" applyProtection="1"/>
    <xf numFmtId="10" fontId="33" fillId="0" borderId="0" xfId="0" applyNumberFormat="1" applyFont="1" applyBorder="1" applyProtection="1"/>
    <xf numFmtId="10" fontId="33" fillId="0" borderId="0" xfId="0" applyNumberFormat="1" applyFont="1" applyProtection="1"/>
    <xf numFmtId="10" fontId="56" fillId="20" borderId="16" xfId="5" applyNumberFormat="1" applyFont="1" applyFill="1" applyBorder="1" applyAlignment="1" applyProtection="1">
      <alignment horizontal="center" vertical="center" wrapText="1"/>
      <protection locked="0"/>
    </xf>
    <xf numFmtId="10" fontId="56" fillId="20" borderId="11" xfId="5" applyNumberFormat="1" applyFont="1" applyFill="1" applyBorder="1" applyAlignment="1" applyProtection="1">
      <alignment horizontal="center" vertical="center" wrapText="1"/>
      <protection locked="0"/>
    </xf>
    <xf numFmtId="0" fontId="38" fillId="20" borderId="0" xfId="0" applyFont="1" applyFill="1" applyBorder="1" applyAlignment="1" applyProtection="1">
      <alignment horizontal="left" vertical="center" wrapText="1"/>
    </xf>
    <xf numFmtId="173" fontId="38" fillId="20" borderId="0" xfId="5" applyNumberFormat="1" applyFont="1" applyFill="1" applyBorder="1" applyAlignment="1" applyProtection="1">
      <alignment horizontal="center" vertical="center" wrapText="1"/>
    </xf>
    <xf numFmtId="173" fontId="33" fillId="0" borderId="0" xfId="0" applyNumberFormat="1" applyFont="1" applyProtection="1"/>
    <xf numFmtId="0" fontId="60" fillId="20" borderId="0" xfId="0" applyFont="1" applyFill="1" applyBorder="1" applyProtection="1"/>
    <xf numFmtId="0" fontId="38" fillId="0" borderId="0" xfId="0" applyFont="1" applyProtection="1"/>
    <xf numFmtId="0" fontId="62" fillId="20" borderId="0" xfId="0" applyFont="1" applyFill="1" applyBorder="1" applyAlignment="1" applyProtection="1">
      <alignment horizontal="center"/>
    </xf>
    <xf numFmtId="0" fontId="63" fillId="20" borderId="0" xfId="0" applyFont="1" applyFill="1" applyBorder="1" applyAlignment="1" applyProtection="1">
      <alignment horizontal="center" vertical="center" wrapText="1"/>
    </xf>
    <xf numFmtId="0" fontId="63" fillId="20" borderId="0" xfId="0" applyFont="1" applyFill="1" applyBorder="1" applyAlignment="1" applyProtection="1">
      <alignment horizontal="left" vertical="center" wrapText="1"/>
    </xf>
    <xf numFmtId="10" fontId="64" fillId="20" borderId="0" xfId="5" applyNumberFormat="1" applyFont="1" applyFill="1" applyBorder="1" applyAlignment="1" applyProtection="1">
      <alignment horizontal="center" vertical="center" wrapText="1"/>
    </xf>
    <xf numFmtId="0" fontId="38" fillId="20" borderId="0" xfId="0" applyFont="1" applyFill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/>
    </xf>
    <xf numFmtId="0" fontId="38" fillId="0" borderId="0" xfId="0" applyFont="1" applyAlignment="1" applyProtection="1">
      <alignment vertical="center" wrapText="1"/>
    </xf>
    <xf numFmtId="0" fontId="38" fillId="20" borderId="0" xfId="0" applyFont="1" applyFill="1" applyBorder="1" applyAlignment="1" applyProtection="1">
      <alignment wrapText="1"/>
    </xf>
    <xf numFmtId="0" fontId="33" fillId="20" borderId="38" xfId="0" applyFont="1" applyFill="1" applyBorder="1" applyProtection="1"/>
    <xf numFmtId="0" fontId="63" fillId="20" borderId="39" xfId="0" applyFont="1" applyFill="1" applyBorder="1" applyAlignment="1" applyProtection="1">
      <alignment horizontal="left" vertical="center" wrapText="1"/>
    </xf>
    <xf numFmtId="10" fontId="64" fillId="20" borderId="39" xfId="5" applyNumberFormat="1" applyFont="1" applyFill="1" applyBorder="1" applyAlignment="1" applyProtection="1">
      <alignment horizontal="center" vertical="center" wrapText="1"/>
    </xf>
    <xf numFmtId="0" fontId="33" fillId="20" borderId="39" xfId="0" applyFont="1" applyFill="1" applyBorder="1" applyProtection="1"/>
    <xf numFmtId="0" fontId="33" fillId="20" borderId="40" xfId="0" applyFont="1" applyFill="1" applyBorder="1" applyProtection="1"/>
    <xf numFmtId="0" fontId="38" fillId="0" borderId="0" xfId="0" applyFont="1" applyAlignment="1" applyProtection="1">
      <alignment horizontal="center"/>
    </xf>
    <xf numFmtId="10" fontId="33" fillId="0" borderId="0" xfId="0" applyNumberFormat="1" applyFont="1" applyAlignment="1" applyProtection="1">
      <alignment horizontal="center"/>
    </xf>
    <xf numFmtId="10" fontId="33" fillId="0" borderId="0" xfId="5" applyNumberFormat="1" applyFont="1" applyAlignment="1" applyProtection="1">
      <alignment horizontal="center"/>
    </xf>
    <xf numFmtId="174" fontId="33" fillId="0" borderId="0" xfId="0" applyNumberFormat="1" applyFont="1" applyAlignment="1" applyProtection="1">
      <alignment horizontal="center"/>
    </xf>
    <xf numFmtId="9" fontId="33" fillId="0" borderId="0" xfId="5" applyFont="1" applyProtection="1"/>
    <xf numFmtId="0" fontId="33" fillId="0" borderId="22" xfId="0" applyFont="1" applyBorder="1" applyProtection="1"/>
    <xf numFmtId="0" fontId="33" fillId="0" borderId="23" xfId="0" applyFont="1" applyBorder="1" applyProtection="1"/>
    <xf numFmtId="0" fontId="38" fillId="0" borderId="22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vertical="center" wrapText="1"/>
    </xf>
    <xf numFmtId="0" fontId="38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vertical="center"/>
    </xf>
    <xf numFmtId="0" fontId="32" fillId="0" borderId="0" xfId="0" applyFont="1" applyAlignment="1" applyProtection="1">
      <alignment vertical="center" wrapText="1"/>
    </xf>
    <xf numFmtId="0" fontId="33" fillId="0" borderId="22" xfId="0" applyFont="1" applyBorder="1" applyAlignment="1" applyProtection="1">
      <alignment vertical="center"/>
    </xf>
    <xf numFmtId="9" fontId="33" fillId="0" borderId="0" xfId="0" applyNumberFormat="1" applyFont="1" applyProtection="1"/>
    <xf numFmtId="0" fontId="38" fillId="0" borderId="22" xfId="0" applyFont="1" applyBorder="1" applyProtection="1"/>
    <xf numFmtId="0" fontId="38" fillId="0" borderId="0" xfId="0" applyFont="1" applyBorder="1" applyProtection="1"/>
    <xf numFmtId="0" fontId="32" fillId="0" borderId="41" xfId="0" applyFont="1" applyBorder="1" applyAlignment="1" applyProtection="1">
      <alignment vertical="top" wrapText="1"/>
    </xf>
    <xf numFmtId="10" fontId="32" fillId="0" borderId="40" xfId="0" applyNumberFormat="1" applyFont="1" applyBorder="1" applyAlignment="1" applyProtection="1">
      <alignment horizontal="center" vertical="top" wrapText="1"/>
    </xf>
    <xf numFmtId="0" fontId="33" fillId="0" borderId="38" xfId="0" applyFont="1" applyBorder="1" applyProtection="1"/>
    <xf numFmtId="0" fontId="33" fillId="0" borderId="39" xfId="0" applyFont="1" applyBorder="1" applyProtection="1"/>
    <xf numFmtId="0" fontId="33" fillId="0" borderId="40" xfId="0" applyFont="1" applyBorder="1" applyProtection="1"/>
    <xf numFmtId="0" fontId="32" fillId="0" borderId="42" xfId="0" applyFont="1" applyBorder="1" applyAlignment="1" applyProtection="1">
      <alignment vertical="top" wrapText="1"/>
    </xf>
    <xf numFmtId="10" fontId="32" fillId="0" borderId="24" xfId="0" applyNumberFormat="1" applyFont="1" applyBorder="1" applyAlignment="1" applyProtection="1">
      <alignment horizontal="center" vertical="top" wrapText="1"/>
    </xf>
    <xf numFmtId="0" fontId="33" fillId="0" borderId="22" xfId="0" applyFont="1" applyBorder="1" applyAlignment="1" applyProtection="1">
      <alignment wrapText="1"/>
    </xf>
    <xf numFmtId="0" fontId="33" fillId="36" borderId="0" xfId="0" applyFont="1" applyFill="1" applyBorder="1" applyAlignment="1" applyProtection="1">
      <alignment wrapText="1"/>
    </xf>
    <xf numFmtId="0" fontId="33" fillId="0" borderId="0" xfId="0" applyFont="1" applyBorder="1" applyAlignment="1" applyProtection="1">
      <alignment wrapText="1"/>
    </xf>
    <xf numFmtId="0" fontId="33" fillId="0" borderId="23" xfId="0" applyFont="1" applyBorder="1" applyAlignment="1" applyProtection="1">
      <alignment wrapText="1"/>
    </xf>
    <xf numFmtId="10" fontId="32" fillId="0" borderId="12" xfId="0" applyNumberFormat="1" applyFont="1" applyBorder="1" applyAlignment="1" applyProtection="1">
      <alignment horizontal="center" vertical="top" wrapText="1"/>
    </xf>
    <xf numFmtId="0" fontId="32" fillId="0" borderId="12" xfId="0" applyFont="1" applyBorder="1" applyAlignment="1" applyProtection="1">
      <alignment vertical="top" wrapText="1"/>
    </xf>
    <xf numFmtId="0" fontId="32" fillId="0" borderId="42" xfId="0" applyFont="1" applyBorder="1" applyAlignment="1" applyProtection="1">
      <alignment horizontal="center" vertical="top" wrapText="1"/>
    </xf>
    <xf numFmtId="0" fontId="32" fillId="0" borderId="24" xfId="0" applyFont="1" applyBorder="1" applyAlignment="1" applyProtection="1">
      <alignment horizontal="center" vertical="top" wrapText="1"/>
    </xf>
    <xf numFmtId="167" fontId="38" fillId="0" borderId="12" xfId="8" applyNumberFormat="1" applyFont="1" applyFill="1" applyBorder="1" applyAlignment="1">
      <alignment horizontal="center" vertical="top"/>
    </xf>
    <xf numFmtId="43" fontId="38" fillId="0" borderId="12" xfId="8" applyFont="1" applyFill="1" applyBorder="1" applyAlignment="1">
      <alignment horizontal="center" vertical="top"/>
    </xf>
    <xf numFmtId="43" fontId="38" fillId="0" borderId="12" xfId="8" applyFont="1" applyFill="1" applyBorder="1" applyAlignment="1">
      <alignment horizontal="center" vertical="top" wrapText="1"/>
    </xf>
    <xf numFmtId="0" fontId="38" fillId="33" borderId="13" xfId="0" applyFont="1" applyFill="1" applyBorder="1" applyAlignment="1">
      <alignment horizontal="center" vertical="top"/>
    </xf>
    <xf numFmtId="165" fontId="36" fillId="33" borderId="62" xfId="2" applyFont="1" applyFill="1" applyBorder="1" applyAlignment="1" applyProtection="1">
      <alignment horizontal="center" vertical="top"/>
    </xf>
    <xf numFmtId="165" fontId="36" fillId="33" borderId="62" xfId="2" applyFont="1" applyFill="1" applyBorder="1" applyAlignment="1" applyProtection="1">
      <alignment horizontal="left" vertical="top" wrapText="1"/>
    </xf>
    <xf numFmtId="167" fontId="38" fillId="33" borderId="62" xfId="8" applyNumberFormat="1" applyFont="1" applyFill="1" applyBorder="1" applyAlignment="1">
      <alignment horizontal="center" vertical="top"/>
    </xf>
    <xf numFmtId="43" fontId="38" fillId="33" borderId="62" xfId="8" applyFont="1" applyFill="1" applyBorder="1" applyAlignment="1">
      <alignment horizontal="center" vertical="top"/>
    </xf>
    <xf numFmtId="43" fontId="38" fillId="33" borderId="15" xfId="8" applyFont="1" applyFill="1" applyBorder="1" applyAlignment="1">
      <alignment horizontal="center" vertical="top"/>
    </xf>
    <xf numFmtId="165" fontId="37" fillId="0" borderId="25" xfId="2" applyFont="1" applyFill="1" applyBorder="1" applyAlignment="1" applyProtection="1">
      <alignment horizontal="center" vertical="top"/>
    </xf>
    <xf numFmtId="43" fontId="33" fillId="0" borderId="26" xfId="8" applyNumberFormat="1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/>
    </xf>
    <xf numFmtId="167" fontId="38" fillId="0" borderId="27" xfId="8" applyNumberFormat="1" applyFont="1" applyFill="1" applyBorder="1" applyAlignment="1">
      <alignment vertical="top"/>
    </xf>
    <xf numFmtId="43" fontId="38" fillId="0" borderId="27" xfId="8" applyNumberFormat="1" applyFont="1" applyFill="1" applyBorder="1" applyAlignment="1">
      <alignment vertical="top"/>
    </xf>
    <xf numFmtId="43" fontId="38" fillId="0" borderId="28" xfId="8" applyNumberFormat="1" applyFont="1" applyFill="1" applyBorder="1" applyAlignment="1">
      <alignment vertical="top"/>
    </xf>
    <xf numFmtId="0" fontId="38" fillId="33" borderId="62" xfId="0" applyFont="1" applyFill="1" applyBorder="1" applyAlignment="1">
      <alignment horizontal="center"/>
    </xf>
    <xf numFmtId="167" fontId="38" fillId="33" borderId="62" xfId="0" applyNumberFormat="1" applyFont="1" applyFill="1" applyBorder="1" applyAlignment="1"/>
    <xf numFmtId="43" fontId="38" fillId="33" borderId="62" xfId="0" applyNumberFormat="1" applyFont="1" applyFill="1" applyBorder="1" applyAlignment="1"/>
    <xf numFmtId="43" fontId="38" fillId="33" borderId="15" xfId="0" applyNumberFormat="1" applyFont="1" applyFill="1" applyBorder="1" applyAlignment="1"/>
    <xf numFmtId="0" fontId="38" fillId="0" borderId="12" xfId="0" applyFont="1" applyFill="1" applyBorder="1" applyAlignment="1">
      <alignment vertical="top"/>
    </xf>
    <xf numFmtId="0" fontId="33" fillId="0" borderId="12" xfId="0" applyFont="1" applyFill="1" applyBorder="1" applyAlignment="1">
      <alignment vertical="center"/>
    </xf>
    <xf numFmtId="2" fontId="38" fillId="0" borderId="12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top"/>
    </xf>
    <xf numFmtId="0" fontId="51" fillId="0" borderId="12" xfId="0" applyFont="1" applyBorder="1" applyAlignment="1">
      <alignment vertical="center"/>
    </xf>
    <xf numFmtId="2" fontId="52" fillId="0" borderId="12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left" vertical="top"/>
    </xf>
    <xf numFmtId="0" fontId="65" fillId="0" borderId="0" xfId="0" applyFont="1" applyFill="1" applyBorder="1" applyAlignment="1">
      <alignment horizontal="center" vertical="top"/>
    </xf>
    <xf numFmtId="167" fontId="65" fillId="0" borderId="0" xfId="8" applyNumberFormat="1" applyFont="1" applyFill="1" applyBorder="1" applyAlignment="1">
      <alignment vertical="top"/>
    </xf>
    <xf numFmtId="43" fontId="65" fillId="0" borderId="0" xfId="8" applyNumberFormat="1" applyFont="1" applyFill="1" applyBorder="1" applyAlignment="1">
      <alignment vertical="top"/>
    </xf>
    <xf numFmtId="43" fontId="41" fillId="0" borderId="0" xfId="1" applyNumberFormat="1" applyFont="1" applyFill="1" applyBorder="1" applyAlignment="1" applyProtection="1">
      <alignment vertical="top"/>
    </xf>
    <xf numFmtId="165" fontId="37" fillId="0" borderId="0" xfId="2" applyFont="1" applyFill="1" applyBorder="1" applyAlignment="1" applyProtection="1">
      <alignment horizontal="left" vertical="center" wrapText="1"/>
    </xf>
    <xf numFmtId="0" fontId="33" fillId="20" borderId="25" xfId="0" applyFont="1" applyFill="1" applyBorder="1" applyAlignment="1">
      <alignment vertical="top"/>
    </xf>
    <xf numFmtId="0" fontId="33" fillId="20" borderId="0" xfId="0" applyFont="1" applyFill="1" applyBorder="1" applyAlignment="1">
      <alignment horizontal="center" vertical="top"/>
    </xf>
    <xf numFmtId="0" fontId="38" fillId="20" borderId="0" xfId="0" applyFont="1" applyFill="1" applyBorder="1" applyAlignment="1">
      <alignment horizontal="left" vertical="top"/>
    </xf>
    <xf numFmtId="0" fontId="38" fillId="20" borderId="0" xfId="0" applyFont="1" applyFill="1" applyBorder="1" applyAlignment="1">
      <alignment horizontal="center" vertical="top"/>
    </xf>
    <xf numFmtId="167" fontId="38" fillId="20" borderId="0" xfId="8" applyNumberFormat="1" applyFont="1" applyFill="1" applyBorder="1" applyAlignment="1">
      <alignment vertical="top"/>
    </xf>
    <xf numFmtId="43" fontId="38" fillId="20" borderId="0" xfId="8" applyNumberFormat="1" applyFont="1" applyFill="1" applyBorder="1" applyAlignment="1">
      <alignment vertical="top"/>
    </xf>
    <xf numFmtId="0" fontId="38" fillId="20" borderId="25" xfId="0" applyFont="1" applyFill="1" applyBorder="1" applyAlignment="1">
      <alignment vertical="top"/>
    </xf>
    <xf numFmtId="0" fontId="38" fillId="31" borderId="0" xfId="98" applyFont="1" applyFill="1" applyBorder="1" applyAlignment="1">
      <alignment vertical="top" wrapText="1"/>
    </xf>
    <xf numFmtId="2" fontId="33" fillId="31" borderId="0" xfId="98" applyNumberFormat="1" applyFont="1" applyFill="1" applyBorder="1" applyAlignment="1">
      <alignment vertical="top"/>
    </xf>
    <xf numFmtId="10" fontId="49" fillId="31" borderId="0" xfId="5" applyNumberFormat="1" applyFont="1" applyFill="1" applyBorder="1" applyAlignment="1">
      <alignment vertical="top" wrapText="1"/>
    </xf>
    <xf numFmtId="9" fontId="66" fillId="31" borderId="0" xfId="5" applyFont="1" applyFill="1" applyBorder="1" applyAlignment="1">
      <alignment horizontal="center" vertical="top"/>
    </xf>
    <xf numFmtId="10" fontId="66" fillId="31" borderId="0" xfId="98" applyNumberFormat="1" applyFont="1" applyFill="1" applyBorder="1" applyAlignment="1">
      <alignment horizontal="center" vertical="top"/>
    </xf>
    <xf numFmtId="4" fontId="38" fillId="31" borderId="12" xfId="98" applyNumberFormat="1" applyFont="1" applyFill="1" applyBorder="1" applyAlignment="1"/>
    <xf numFmtId="0" fontId="33" fillId="20" borderId="10" xfId="0" applyFont="1" applyFill="1" applyBorder="1" applyAlignment="1">
      <alignment vertical="top"/>
    </xf>
    <xf numFmtId="0" fontId="38" fillId="31" borderId="27" xfId="98" applyFont="1" applyFill="1" applyBorder="1" applyAlignment="1">
      <alignment vertical="top" wrapText="1"/>
    </xf>
    <xf numFmtId="2" fontId="33" fillId="31" borderId="27" xfId="98" applyNumberFormat="1" applyFont="1" applyFill="1" applyBorder="1" applyAlignment="1">
      <alignment vertical="top"/>
    </xf>
    <xf numFmtId="43" fontId="38" fillId="0" borderId="12" xfId="8" applyNumberFormat="1" applyFont="1" applyFill="1" applyBorder="1" applyAlignment="1"/>
    <xf numFmtId="167" fontId="33" fillId="0" borderId="0" xfId="8" applyNumberFormat="1" applyFont="1" applyFill="1" applyBorder="1" applyAlignment="1">
      <alignment horizontal="center" vertical="top"/>
    </xf>
    <xf numFmtId="43" fontId="33" fillId="0" borderId="0" xfId="8" applyFont="1" applyFill="1" applyBorder="1" applyAlignment="1">
      <alignment horizontal="center" vertical="top"/>
    </xf>
    <xf numFmtId="0" fontId="35" fillId="20" borderId="22" xfId="0" applyFont="1" applyFill="1" applyBorder="1" applyAlignment="1"/>
    <xf numFmtId="0" fontId="35" fillId="20" borderId="0" xfId="0" applyFont="1" applyFill="1" applyBorder="1" applyAlignment="1"/>
    <xf numFmtId="4" fontId="33" fillId="20" borderId="0" xfId="104" applyNumberFormat="1" applyFont="1" applyFill="1" applyBorder="1" applyAlignment="1">
      <alignment vertical="center" wrapText="1"/>
    </xf>
    <xf numFmtId="4" fontId="33" fillId="20" borderId="23" xfId="104" applyNumberFormat="1" applyFont="1" applyFill="1" applyBorder="1" applyAlignment="1">
      <alignment vertical="center" wrapText="1"/>
    </xf>
    <xf numFmtId="0" fontId="33" fillId="20" borderId="0" xfId="0" applyFont="1" applyFill="1" applyBorder="1" applyAlignment="1">
      <alignment vertical="center" wrapText="1"/>
    </xf>
    <xf numFmtId="0" fontId="33" fillId="20" borderId="23" xfId="0" applyFont="1" applyFill="1" applyBorder="1" applyAlignment="1">
      <alignment vertical="center" wrapText="1"/>
    </xf>
    <xf numFmtId="167" fontId="33" fillId="0" borderId="0" xfId="1" applyNumberFormat="1" applyFont="1" applyFill="1" applyBorder="1" applyAlignment="1" applyProtection="1"/>
    <xf numFmtId="43" fontId="37" fillId="0" borderId="0" xfId="2" applyNumberFormat="1" applyFont="1" applyFill="1" applyBorder="1" applyAlignment="1" applyProtection="1">
      <alignment horizontal="right"/>
    </xf>
    <xf numFmtId="43" fontId="33" fillId="0" borderId="26" xfId="6" applyNumberFormat="1" applyFont="1" applyFill="1" applyBorder="1" applyAlignment="1">
      <alignment wrapText="1"/>
    </xf>
    <xf numFmtId="167" fontId="38" fillId="0" borderId="27" xfId="6" applyNumberFormat="1" applyFont="1" applyFill="1" applyBorder="1" applyAlignment="1"/>
    <xf numFmtId="43" fontId="38" fillId="0" borderId="27" xfId="6" applyNumberFormat="1" applyFont="1" applyFill="1" applyBorder="1" applyAlignment="1"/>
    <xf numFmtId="43" fontId="38" fillId="0" borderId="28" xfId="6" applyNumberFormat="1" applyFont="1" applyFill="1" applyBorder="1" applyAlignment="1"/>
    <xf numFmtId="167" fontId="38" fillId="34" borderId="27" xfId="6" applyNumberFormat="1" applyFont="1" applyFill="1" applyBorder="1" applyAlignment="1"/>
    <xf numFmtId="43" fontId="38" fillId="34" borderId="27" xfId="6" applyNumberFormat="1" applyFont="1" applyFill="1" applyBorder="1" applyAlignment="1"/>
    <xf numFmtId="43" fontId="38" fillId="34" borderId="28" xfId="6" applyNumberFormat="1" applyFont="1" applyFill="1" applyBorder="1" applyAlignment="1"/>
    <xf numFmtId="167" fontId="33" fillId="0" borderId="62" xfId="1" applyNumberFormat="1" applyFont="1" applyFill="1" applyBorder="1" applyAlignment="1" applyProtection="1"/>
    <xf numFmtId="43" fontId="37" fillId="0" borderId="62" xfId="2" applyNumberFormat="1" applyFont="1" applyFill="1" applyBorder="1" applyAlignment="1" applyProtection="1">
      <alignment horizontal="right"/>
    </xf>
    <xf numFmtId="43" fontId="38" fillId="0" borderId="15" xfId="6" applyNumberFormat="1" applyFont="1" applyFill="1" applyBorder="1" applyAlignment="1">
      <alignment wrapText="1"/>
    </xf>
    <xf numFmtId="43" fontId="38" fillId="0" borderId="26" xfId="6" applyNumberFormat="1" applyFont="1" applyFill="1" applyBorder="1" applyAlignment="1">
      <alignment wrapText="1"/>
    </xf>
    <xf numFmtId="167" fontId="33" fillId="33" borderId="62" xfId="1" applyNumberFormat="1" applyFont="1" applyFill="1" applyBorder="1" applyAlignment="1" applyProtection="1"/>
    <xf numFmtId="43" fontId="37" fillId="33" borderId="62" xfId="2" applyNumberFormat="1" applyFont="1" applyFill="1" applyBorder="1" applyAlignment="1" applyProtection="1">
      <alignment horizontal="right"/>
    </xf>
    <xf numFmtId="43" fontId="38" fillId="33" borderId="15" xfId="6" applyNumberFormat="1" applyFont="1" applyFill="1" applyBorder="1" applyAlignment="1">
      <alignment wrapText="1"/>
    </xf>
    <xf numFmtId="167" fontId="33" fillId="20" borderId="62" xfId="1" applyNumberFormat="1" applyFont="1" applyFill="1" applyBorder="1" applyAlignment="1" applyProtection="1"/>
    <xf numFmtId="43" fontId="37" fillId="20" borderId="62" xfId="2" applyNumberFormat="1" applyFont="1" applyFill="1" applyBorder="1" applyAlignment="1" applyProtection="1">
      <alignment horizontal="right"/>
    </xf>
    <xf numFmtId="43" fontId="38" fillId="20" borderId="15" xfId="6" applyNumberFormat="1" applyFont="1" applyFill="1" applyBorder="1" applyAlignment="1">
      <alignment wrapText="1"/>
    </xf>
    <xf numFmtId="43" fontId="33" fillId="20" borderId="15" xfId="6" applyNumberFormat="1" applyFont="1" applyFill="1" applyBorder="1" applyAlignment="1">
      <alignment wrapText="1"/>
    </xf>
    <xf numFmtId="167" fontId="38" fillId="0" borderId="0" xfId="1" applyNumberFormat="1" applyFont="1" applyFill="1" applyBorder="1" applyAlignment="1" applyProtection="1"/>
    <xf numFmtId="43" fontId="36" fillId="0" borderId="0" xfId="2" applyNumberFormat="1" applyFont="1" applyFill="1" applyBorder="1" applyAlignment="1" applyProtection="1">
      <alignment horizontal="right"/>
    </xf>
    <xf numFmtId="167" fontId="38" fillId="20" borderId="62" xfId="1" applyNumberFormat="1" applyFont="1" applyFill="1" applyBorder="1" applyAlignment="1" applyProtection="1"/>
    <xf numFmtId="43" fontId="36" fillId="20" borderId="62" xfId="2" applyNumberFormat="1" applyFont="1" applyFill="1" applyBorder="1" applyAlignment="1" applyProtection="1">
      <alignment horizontal="right"/>
    </xf>
    <xf numFmtId="167" fontId="38" fillId="0" borderId="62" xfId="1" applyNumberFormat="1" applyFont="1" applyFill="1" applyBorder="1" applyAlignment="1" applyProtection="1"/>
    <xf numFmtId="43" fontId="36" fillId="0" borderId="62" xfId="2" applyNumberFormat="1" applyFont="1" applyFill="1" applyBorder="1" applyAlignment="1" applyProtection="1">
      <alignment horizontal="right"/>
    </xf>
    <xf numFmtId="167" fontId="38" fillId="0" borderId="0" xfId="6" applyNumberFormat="1" applyFont="1" applyFill="1" applyBorder="1" applyAlignment="1"/>
    <xf numFmtId="43" fontId="38" fillId="0" borderId="0" xfId="6" applyNumberFormat="1" applyFont="1" applyFill="1" applyBorder="1" applyAlignment="1"/>
    <xf numFmtId="43" fontId="37" fillId="0" borderId="0" xfId="1" applyNumberFormat="1" applyFont="1" applyFill="1" applyBorder="1" applyAlignment="1" applyProtection="1"/>
    <xf numFmtId="43" fontId="38" fillId="0" borderId="26" xfId="6" applyNumberFormat="1" applyFont="1" applyFill="1" applyBorder="1" applyAlignment="1"/>
    <xf numFmtId="0" fontId="38" fillId="0" borderId="56" xfId="0" applyFont="1" applyBorder="1" applyAlignment="1">
      <alignment horizontal="left" vertical="top" wrapText="1"/>
    </xf>
    <xf numFmtId="0" fontId="38" fillId="0" borderId="59" xfId="0" applyFont="1" applyBorder="1" applyAlignment="1">
      <alignment vertical="top" wrapText="1"/>
    </xf>
    <xf numFmtId="0" fontId="35" fillId="20" borderId="22" xfId="0" applyFont="1" applyFill="1" applyBorder="1" applyAlignment="1">
      <alignment horizontal="center"/>
    </xf>
    <xf numFmtId="0" fontId="35" fillId="20" borderId="0" xfId="0" applyFont="1" applyFill="1" applyBorder="1" applyAlignment="1">
      <alignment horizontal="center"/>
    </xf>
    <xf numFmtId="0" fontId="48" fillId="20" borderId="22" xfId="0" applyFont="1" applyFill="1" applyBorder="1" applyAlignment="1">
      <alignment horizontal="center"/>
    </xf>
    <xf numFmtId="0" fontId="48" fillId="20" borderId="0" xfId="0" applyFont="1" applyFill="1" applyBorder="1" applyAlignment="1">
      <alignment horizontal="center"/>
    </xf>
    <xf numFmtId="0" fontId="48" fillId="20" borderId="23" xfId="0" applyFont="1" applyFill="1" applyBorder="1" applyAlignment="1">
      <alignment horizontal="center"/>
    </xf>
    <xf numFmtId="0" fontId="38" fillId="18" borderId="32" xfId="0" applyFont="1" applyFill="1" applyBorder="1" applyAlignment="1">
      <alignment horizontal="left" vertical="top"/>
    </xf>
    <xf numFmtId="0" fontId="38" fillId="18" borderId="33" xfId="0" applyFont="1" applyFill="1" applyBorder="1" applyAlignment="1">
      <alignment horizontal="left" vertical="top"/>
    </xf>
    <xf numFmtId="0" fontId="38" fillId="18" borderId="35" xfId="0" applyFont="1" applyFill="1" applyBorder="1" applyAlignment="1">
      <alignment horizontal="left" vertical="top"/>
    </xf>
    <xf numFmtId="0" fontId="38" fillId="18" borderId="36" xfId="0" applyFont="1" applyFill="1" applyBorder="1" applyAlignment="1">
      <alignment horizontal="left" vertical="top"/>
    </xf>
    <xf numFmtId="0" fontId="35" fillId="20" borderId="23" xfId="0" applyFont="1" applyFill="1" applyBorder="1" applyAlignment="1">
      <alignment horizontal="center"/>
    </xf>
    <xf numFmtId="0" fontId="38" fillId="18" borderId="9" xfId="0" applyFont="1" applyFill="1" applyBorder="1" applyAlignment="1">
      <alignment horizontal="center" vertical="center"/>
    </xf>
    <xf numFmtId="0" fontId="38" fillId="18" borderId="63" xfId="0" applyFont="1" applyFill="1" applyBorder="1" applyAlignment="1">
      <alignment horizontal="center" vertical="center"/>
    </xf>
    <xf numFmtId="0" fontId="38" fillId="18" borderId="1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top"/>
    </xf>
    <xf numFmtId="0" fontId="38" fillId="0" borderId="62" xfId="0" applyFont="1" applyFill="1" applyBorder="1" applyAlignment="1">
      <alignment horizontal="center" vertical="top"/>
    </xf>
    <xf numFmtId="0" fontId="38" fillId="0" borderId="15" xfId="0" applyFont="1" applyFill="1" applyBorder="1" applyAlignment="1">
      <alignment horizontal="center" vertical="top"/>
    </xf>
    <xf numFmtId="0" fontId="33" fillId="20" borderId="62" xfId="0" applyFont="1" applyFill="1" applyBorder="1" applyAlignment="1">
      <alignment horizontal="center" vertical="top"/>
    </xf>
    <xf numFmtId="0" fontId="33" fillId="20" borderId="15" xfId="0" applyFont="1" applyFill="1" applyBorder="1" applyAlignment="1">
      <alignment horizontal="center" vertical="top"/>
    </xf>
    <xf numFmtId="0" fontId="38" fillId="31" borderId="62" xfId="98" applyFont="1" applyFill="1" applyBorder="1" applyAlignment="1">
      <alignment horizontal="right" vertical="top" wrapText="1"/>
    </xf>
    <xf numFmtId="165" fontId="36" fillId="0" borderId="62" xfId="2" applyFont="1" applyFill="1" applyBorder="1" applyAlignment="1" applyProtection="1">
      <alignment horizontal="left" vertical="top" wrapText="1"/>
    </xf>
    <xf numFmtId="165" fontId="36" fillId="0" borderId="15" xfId="2" applyFont="1" applyFill="1" applyBorder="1" applyAlignment="1" applyProtection="1">
      <alignment horizontal="left" vertical="top" wrapText="1"/>
    </xf>
    <xf numFmtId="165" fontId="36" fillId="20" borderId="62" xfId="2" applyFont="1" applyFill="1" applyBorder="1" applyAlignment="1" applyProtection="1">
      <alignment horizontal="left" vertical="top"/>
    </xf>
    <xf numFmtId="0" fontId="35" fillId="20" borderId="22" xfId="0" applyFont="1" applyFill="1" applyBorder="1" applyAlignment="1">
      <alignment horizontal="center" vertical="center"/>
    </xf>
    <xf numFmtId="0" fontId="35" fillId="20" borderId="0" xfId="0" applyFont="1" applyFill="1" applyBorder="1" applyAlignment="1">
      <alignment horizontal="center" vertical="center"/>
    </xf>
    <xf numFmtId="0" fontId="35" fillId="20" borderId="23" xfId="0" applyFont="1" applyFill="1" applyBorder="1" applyAlignment="1">
      <alignment horizontal="center" vertical="center"/>
    </xf>
    <xf numFmtId="1" fontId="36" fillId="20" borderId="25" xfId="4" applyNumberFormat="1" applyFont="1" applyFill="1" applyBorder="1" applyAlignment="1">
      <alignment horizontal="center" vertical="center" wrapText="1"/>
    </xf>
    <xf numFmtId="1" fontId="36" fillId="20" borderId="10" xfId="4" applyNumberFormat="1" applyFont="1" applyFill="1" applyBorder="1" applyAlignment="1">
      <alignment horizontal="center" vertical="center" wrapText="1"/>
    </xf>
    <xf numFmtId="43" fontId="36" fillId="0" borderId="25" xfId="4" applyNumberFormat="1" applyFont="1" applyFill="1" applyBorder="1" applyAlignment="1">
      <alignment horizontal="right" vertical="center" wrapText="1"/>
    </xf>
    <xf numFmtId="43" fontId="36" fillId="0" borderId="10" xfId="4" applyNumberFormat="1" applyFont="1" applyFill="1" applyBorder="1" applyAlignment="1">
      <alignment horizontal="right" vertical="center" wrapText="1"/>
    </xf>
    <xf numFmtId="43" fontId="36" fillId="0" borderId="25" xfId="4" applyNumberFormat="1" applyFont="1" applyFill="1" applyBorder="1" applyAlignment="1">
      <alignment horizontal="center" vertical="center" wrapText="1"/>
    </xf>
    <xf numFmtId="43" fontId="36" fillId="0" borderId="10" xfId="4" applyNumberFormat="1" applyFont="1" applyFill="1" applyBorder="1" applyAlignment="1">
      <alignment horizontal="center" vertical="center" wrapText="1"/>
    </xf>
    <xf numFmtId="43" fontId="36" fillId="0" borderId="16" xfId="4" applyNumberFormat="1" applyFont="1" applyFill="1" applyBorder="1" applyAlignment="1">
      <alignment horizontal="center" vertical="center" wrapText="1"/>
    </xf>
    <xf numFmtId="43" fontId="36" fillId="0" borderId="11" xfId="4" applyNumberFormat="1" applyFont="1" applyFill="1" applyBorder="1" applyAlignment="1">
      <alignment horizontal="center" vertical="center" wrapText="1"/>
    </xf>
    <xf numFmtId="4" fontId="36" fillId="0" borderId="25" xfId="4" applyNumberFormat="1" applyFont="1" applyFill="1" applyBorder="1" applyAlignment="1">
      <alignment horizontal="center" vertical="center" wrapText="1"/>
    </xf>
    <xf numFmtId="4" fontId="36" fillId="0" borderId="10" xfId="4" applyNumberFormat="1" applyFont="1" applyFill="1" applyBorder="1" applyAlignment="1">
      <alignment horizontal="center" vertical="center" wrapText="1"/>
    </xf>
    <xf numFmtId="1" fontId="36" fillId="0" borderId="25" xfId="4" applyNumberFormat="1" applyFont="1" applyFill="1" applyBorder="1" applyAlignment="1">
      <alignment horizontal="center" vertical="center" wrapText="1"/>
    </xf>
    <xf numFmtId="1" fontId="36" fillId="0" borderId="10" xfId="4" applyNumberFormat="1" applyFont="1" applyFill="1" applyBorder="1" applyAlignment="1">
      <alignment horizontal="center" vertical="center" wrapText="1"/>
    </xf>
    <xf numFmtId="169" fontId="36" fillId="0" borderId="25" xfId="4" applyNumberFormat="1" applyFont="1" applyFill="1" applyBorder="1" applyAlignment="1">
      <alignment horizontal="center" vertical="center" wrapText="1"/>
    </xf>
    <xf numFmtId="169" fontId="36" fillId="0" borderId="10" xfId="4" applyNumberFormat="1" applyFont="1" applyFill="1" applyBorder="1" applyAlignment="1">
      <alignment horizontal="center" vertical="center" wrapText="1"/>
    </xf>
    <xf numFmtId="0" fontId="33" fillId="20" borderId="39" xfId="0" applyFont="1" applyFill="1" applyBorder="1" applyAlignment="1">
      <alignment horizontal="center"/>
    </xf>
    <xf numFmtId="0" fontId="33" fillId="20" borderId="40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 vertical="top"/>
    </xf>
    <xf numFmtId="165" fontId="38" fillId="21" borderId="0" xfId="2" applyFont="1" applyFill="1" applyBorder="1" applyAlignment="1" applyProtection="1">
      <alignment horizontal="center" vertical="top" wrapText="1"/>
    </xf>
    <xf numFmtId="165" fontId="38" fillId="21" borderId="26" xfId="2" applyFont="1" applyFill="1" applyBorder="1" applyAlignment="1" applyProtection="1">
      <alignment horizontal="center" vertical="top" wrapText="1"/>
    </xf>
    <xf numFmtId="165" fontId="38" fillId="19" borderId="27" xfId="2" applyFont="1" applyFill="1" applyBorder="1" applyAlignment="1" applyProtection="1">
      <alignment horizontal="center" vertical="top"/>
    </xf>
    <xf numFmtId="165" fontId="38" fillId="19" borderId="28" xfId="2" applyFont="1" applyFill="1" applyBorder="1" applyAlignment="1" applyProtection="1">
      <alignment horizontal="center" vertical="top"/>
    </xf>
    <xf numFmtId="0" fontId="33" fillId="20" borderId="13" xfId="0" applyFont="1" applyFill="1" applyBorder="1" applyAlignment="1">
      <alignment horizontal="center" vertical="top"/>
    </xf>
    <xf numFmtId="0" fontId="38" fillId="31" borderId="0" xfId="98" applyFont="1" applyFill="1" applyBorder="1" applyAlignment="1">
      <alignment horizontal="right" vertical="top" wrapText="1"/>
    </xf>
    <xf numFmtId="0" fontId="38" fillId="31" borderId="27" xfId="98" applyFont="1" applyFill="1" applyBorder="1" applyAlignment="1">
      <alignment horizontal="right" vertical="top" wrapText="1"/>
    </xf>
    <xf numFmtId="0" fontId="38" fillId="0" borderId="64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2" fontId="38" fillId="0" borderId="64" xfId="0" applyNumberFormat="1" applyFont="1" applyFill="1" applyBorder="1" applyAlignment="1">
      <alignment horizontal="center" vertical="center"/>
    </xf>
    <xf numFmtId="2" fontId="38" fillId="0" borderId="16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4" fontId="38" fillId="31" borderId="12" xfId="98" applyNumberFormat="1" applyFont="1" applyFill="1" applyBorder="1" applyAlignment="1"/>
    <xf numFmtId="0" fontId="52" fillId="20" borderId="86" xfId="0" applyFont="1" applyFill="1" applyBorder="1" applyAlignment="1">
      <alignment horizontal="center"/>
    </xf>
    <xf numFmtId="0" fontId="52" fillId="20" borderId="39" xfId="0" applyFont="1" applyFill="1" applyBorder="1" applyAlignment="1">
      <alignment horizontal="center"/>
    </xf>
    <xf numFmtId="0" fontId="52" fillId="20" borderId="87" xfId="0" applyFont="1" applyFill="1" applyBorder="1" applyAlignment="1">
      <alignment horizontal="center"/>
    </xf>
    <xf numFmtId="0" fontId="38" fillId="0" borderId="88" xfId="3" applyFont="1" applyFill="1" applyBorder="1" applyAlignment="1" applyProtection="1">
      <alignment horizontal="center" vertical="center"/>
    </xf>
    <xf numFmtId="0" fontId="33" fillId="0" borderId="93" xfId="3" applyFont="1" applyBorder="1" applyAlignment="1">
      <alignment horizontal="center" vertical="center"/>
    </xf>
    <xf numFmtId="0" fontId="38" fillId="0" borderId="89" xfId="3" applyFont="1" applyFill="1" applyBorder="1" applyAlignment="1" applyProtection="1">
      <alignment horizontal="center" vertical="center"/>
    </xf>
    <xf numFmtId="0" fontId="33" fillId="0" borderId="94" xfId="3" applyFont="1" applyBorder="1" applyAlignment="1">
      <alignment horizontal="center" vertical="center"/>
    </xf>
    <xf numFmtId="0" fontId="38" fillId="0" borderId="90" xfId="3" applyFont="1" applyFill="1" applyBorder="1" applyAlignment="1" applyProtection="1">
      <alignment horizontal="center" vertical="center"/>
    </xf>
    <xf numFmtId="0" fontId="38" fillId="0" borderId="95" xfId="3" applyFont="1" applyFill="1" applyBorder="1" applyAlignment="1" applyProtection="1">
      <alignment horizontal="center" vertical="center"/>
    </xf>
    <xf numFmtId="0" fontId="38" fillId="0" borderId="91" xfId="3" applyFont="1" applyFill="1" applyBorder="1" applyAlignment="1" applyProtection="1">
      <alignment horizontal="center" vertical="center"/>
    </xf>
    <xf numFmtId="0" fontId="38" fillId="0" borderId="56" xfId="3" applyFont="1" applyFill="1" applyBorder="1" applyAlignment="1" applyProtection="1">
      <alignment horizontal="center" vertical="center"/>
    </xf>
    <xf numFmtId="177" fontId="38" fillId="0" borderId="91" xfId="3" applyNumberFormat="1" applyFont="1" applyFill="1" applyBorder="1" applyAlignment="1" applyProtection="1">
      <alignment horizontal="center" vertical="center"/>
    </xf>
    <xf numFmtId="177" fontId="38" fillId="0" borderId="56" xfId="3" applyNumberFormat="1" applyFont="1" applyFill="1" applyBorder="1" applyAlignment="1" applyProtection="1">
      <alignment horizontal="center" vertical="center"/>
    </xf>
    <xf numFmtId="0" fontId="38" fillId="0" borderId="90" xfId="3" applyFont="1" applyFill="1" applyBorder="1" applyAlignment="1" applyProtection="1">
      <alignment horizontal="center" vertical="center" wrapText="1"/>
    </xf>
    <xf numFmtId="0" fontId="38" fillId="0" borderId="95" xfId="3" applyFont="1" applyFill="1" applyBorder="1" applyAlignment="1" applyProtection="1">
      <alignment horizontal="center" vertical="center" wrapText="1"/>
    </xf>
    <xf numFmtId="4" fontId="37" fillId="41" borderId="98" xfId="4" applyNumberFormat="1" applyFont="1" applyFill="1" applyBorder="1" applyAlignment="1">
      <alignment horizontal="center" vertical="center" wrapText="1"/>
    </xf>
    <xf numFmtId="4" fontId="37" fillId="41" borderId="99" xfId="4" applyNumberFormat="1" applyFont="1" applyFill="1" applyBorder="1" applyAlignment="1">
      <alignment horizontal="center" vertical="center" wrapText="1"/>
    </xf>
    <xf numFmtId="4" fontId="37" fillId="41" borderId="100" xfId="4" applyNumberFormat="1" applyFont="1" applyFill="1" applyBorder="1" applyAlignment="1">
      <alignment horizontal="center" vertical="center" wrapText="1"/>
    </xf>
    <xf numFmtId="0" fontId="38" fillId="0" borderId="92" xfId="3" applyFont="1" applyFill="1" applyBorder="1" applyAlignment="1" applyProtection="1">
      <alignment horizontal="center" vertical="center" wrapText="1"/>
    </xf>
    <xf numFmtId="0" fontId="38" fillId="0" borderId="96" xfId="3" applyFont="1" applyFill="1" applyBorder="1" applyAlignment="1" applyProtection="1">
      <alignment horizontal="center" vertical="center" wrapText="1"/>
    </xf>
    <xf numFmtId="43" fontId="37" fillId="0" borderId="64" xfId="104" applyNumberFormat="1" applyFont="1" applyFill="1" applyBorder="1" applyAlignment="1">
      <alignment horizontal="center" vertical="center" wrapText="1"/>
    </xf>
    <xf numFmtId="43" fontId="37" fillId="0" borderId="16" xfId="104" applyNumberFormat="1" applyFont="1" applyFill="1" applyBorder="1" applyAlignment="1">
      <alignment horizontal="center" vertical="center" wrapText="1"/>
    </xf>
    <xf numFmtId="43" fontId="37" fillId="0" borderId="11" xfId="104" applyNumberFormat="1" applyFont="1" applyFill="1" applyBorder="1" applyAlignment="1">
      <alignment horizontal="center" vertical="center" wrapText="1"/>
    </xf>
    <xf numFmtId="43" fontId="37" fillId="0" borderId="64" xfId="10" applyNumberFormat="1" applyFont="1" applyFill="1" applyBorder="1" applyAlignment="1" applyProtection="1">
      <alignment horizontal="center" vertical="center" wrapText="1"/>
      <protection locked="0"/>
    </xf>
    <xf numFmtId="43" fontId="37" fillId="0" borderId="16" xfId="10" applyNumberFormat="1" applyFont="1" applyFill="1" applyBorder="1" applyAlignment="1" applyProtection="1">
      <alignment horizontal="center" vertical="center" wrapText="1"/>
      <protection locked="0"/>
    </xf>
    <xf numFmtId="43" fontId="37" fillId="0" borderId="11" xfId="10" applyNumberFormat="1" applyFont="1" applyFill="1" applyBorder="1" applyAlignment="1" applyProtection="1">
      <alignment horizontal="center" vertical="center" wrapText="1"/>
      <protection locked="0"/>
    </xf>
    <xf numFmtId="4" fontId="33" fillId="20" borderId="22" xfId="4" applyNumberFormat="1" applyFont="1" applyFill="1" applyBorder="1" applyAlignment="1">
      <alignment horizontal="left" vertical="center" wrapText="1"/>
    </xf>
    <xf numFmtId="4" fontId="33" fillId="20" borderId="0" xfId="4" applyNumberFormat="1" applyFont="1" applyFill="1" applyBorder="1" applyAlignment="1">
      <alignment horizontal="left" vertical="center" wrapText="1"/>
    </xf>
    <xf numFmtId="4" fontId="33" fillId="20" borderId="23" xfId="4" applyNumberFormat="1" applyFont="1" applyFill="1" applyBorder="1" applyAlignment="1">
      <alignment horizontal="left" vertical="center" wrapText="1"/>
    </xf>
    <xf numFmtId="0" fontId="54" fillId="20" borderId="69" xfId="0" applyFont="1" applyFill="1" applyBorder="1" applyAlignment="1" applyProtection="1">
      <alignment horizontal="center" vertical="center"/>
    </xf>
    <xf numFmtId="0" fontId="38" fillId="20" borderId="0" xfId="0" applyFont="1" applyFill="1" applyBorder="1" applyAlignment="1" applyProtection="1">
      <alignment horizontal="center" vertical="center"/>
    </xf>
    <xf numFmtId="172" fontId="55" fillId="34" borderId="13" xfId="6" applyNumberFormat="1" applyFont="1" applyFill="1" applyBorder="1" applyAlignment="1" applyProtection="1">
      <alignment horizontal="left" vertical="center" wrapText="1"/>
      <protection locked="0"/>
    </xf>
    <xf numFmtId="172" fontId="55" fillId="34" borderId="62" xfId="6" applyNumberFormat="1" applyFont="1" applyFill="1" applyBorder="1" applyAlignment="1" applyProtection="1">
      <alignment horizontal="left" vertical="center" wrapText="1"/>
      <protection locked="0"/>
    </xf>
    <xf numFmtId="172" fontId="55" fillId="34" borderId="15" xfId="6" applyNumberFormat="1" applyFont="1" applyFill="1" applyBorder="1" applyAlignment="1" applyProtection="1">
      <alignment horizontal="left" vertical="center" wrapText="1"/>
      <protection locked="0"/>
    </xf>
    <xf numFmtId="0" fontId="33" fillId="20" borderId="71" xfId="0" applyFont="1" applyFill="1" applyBorder="1" applyAlignment="1" applyProtection="1">
      <alignment horizontal="justify" vertical="top" wrapText="1"/>
    </xf>
    <xf numFmtId="0" fontId="33" fillId="20" borderId="72" xfId="0" applyFont="1" applyFill="1" applyBorder="1" applyAlignment="1" applyProtection="1">
      <alignment horizontal="justify" vertical="top" wrapText="1"/>
    </xf>
    <xf numFmtId="0" fontId="33" fillId="20" borderId="73" xfId="0" applyFont="1" applyFill="1" applyBorder="1" applyAlignment="1" applyProtection="1">
      <alignment horizontal="justify" vertical="top" wrapText="1"/>
    </xf>
    <xf numFmtId="10" fontId="55" fillId="20" borderId="12" xfId="5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 vertical="center" wrapText="1"/>
    </xf>
    <xf numFmtId="0" fontId="38" fillId="20" borderId="0" xfId="0" applyFont="1" applyFill="1" applyBorder="1" applyAlignment="1" applyProtection="1">
      <alignment horizontal="center" vertical="center" wrapText="1"/>
    </xf>
    <xf numFmtId="0" fontId="38" fillId="20" borderId="0" xfId="0" applyFont="1" applyFill="1" applyBorder="1" applyAlignment="1" applyProtection="1">
      <alignment horizontal="center"/>
    </xf>
    <xf numFmtId="0" fontId="33" fillId="20" borderId="0" xfId="0" applyFont="1" applyFill="1" applyBorder="1" applyAlignment="1" applyProtection="1">
      <alignment horizontal="left" vertical="center" wrapText="1"/>
    </xf>
    <xf numFmtId="10" fontId="59" fillId="20" borderId="0" xfId="5" applyNumberFormat="1" applyFont="1" applyFill="1" applyBorder="1" applyAlignment="1" applyProtection="1">
      <alignment horizontal="center"/>
    </xf>
    <xf numFmtId="0" fontId="61" fillId="20" borderId="74" xfId="0" applyFont="1" applyFill="1" applyBorder="1" applyAlignment="1" applyProtection="1">
      <alignment horizontal="center"/>
    </xf>
    <xf numFmtId="0" fontId="61" fillId="20" borderId="69" xfId="0" applyFont="1" applyFill="1" applyBorder="1" applyAlignment="1" applyProtection="1">
      <alignment horizontal="center"/>
    </xf>
    <xf numFmtId="0" fontId="61" fillId="20" borderId="75" xfId="0" applyFont="1" applyFill="1" applyBorder="1" applyAlignment="1" applyProtection="1">
      <alignment horizontal="center"/>
    </xf>
    <xf numFmtId="0" fontId="60" fillId="20" borderId="0" xfId="0" applyFont="1" applyFill="1" applyBorder="1" applyAlignment="1" applyProtection="1">
      <alignment vertical="center" wrapText="1"/>
    </xf>
    <xf numFmtId="10" fontId="34" fillId="20" borderId="76" xfId="5" applyNumberFormat="1" applyFont="1" applyFill="1" applyBorder="1" applyAlignment="1" applyProtection="1">
      <alignment horizontal="center" vertical="center"/>
    </xf>
    <xf numFmtId="10" fontId="34" fillId="20" borderId="77" xfId="5" applyNumberFormat="1" applyFont="1" applyFill="1" applyBorder="1" applyAlignment="1" applyProtection="1">
      <alignment horizontal="center" vertical="center"/>
    </xf>
    <xf numFmtId="0" fontId="38" fillId="0" borderId="43" xfId="0" applyFont="1" applyBorder="1" applyAlignment="1" applyProtection="1">
      <alignment horizontal="center"/>
    </xf>
    <xf numFmtId="0" fontId="38" fillId="0" borderId="45" xfId="0" applyFont="1" applyBorder="1" applyAlignment="1" applyProtection="1">
      <alignment horizontal="center"/>
    </xf>
    <xf numFmtId="0" fontId="38" fillId="0" borderId="44" xfId="0" applyFont="1" applyBorder="1" applyAlignment="1" applyProtection="1">
      <alignment horizontal="center"/>
    </xf>
    <xf numFmtId="0" fontId="33" fillId="0" borderId="39" xfId="0" applyFont="1" applyBorder="1" applyAlignment="1" applyProtection="1">
      <alignment horizontal="center"/>
    </xf>
    <xf numFmtId="0" fontId="33" fillId="0" borderId="22" xfId="0" applyFont="1" applyBorder="1" applyAlignment="1" applyProtection="1">
      <alignment horizontal="left" wrapText="1"/>
    </xf>
    <xf numFmtId="0" fontId="33" fillId="0" borderId="0" xfId="0" applyFont="1" applyBorder="1" applyAlignment="1" applyProtection="1">
      <alignment horizontal="left" wrapText="1"/>
    </xf>
    <xf numFmtId="0" fontId="33" fillId="0" borderId="23" xfId="0" applyFont="1" applyBorder="1" applyAlignment="1" applyProtection="1">
      <alignment horizontal="left" wrapText="1"/>
    </xf>
    <xf numFmtId="0" fontId="48" fillId="18" borderId="12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164" fontId="53" fillId="0" borderId="12" xfId="0" applyNumberFormat="1" applyFont="1" applyFill="1" applyBorder="1" applyAlignment="1" applyProtection="1">
      <alignment horizontal="center" vertical="center"/>
    </xf>
    <xf numFmtId="164" fontId="38" fillId="20" borderId="12" xfId="0" applyNumberFormat="1" applyFont="1" applyFill="1" applyBorder="1" applyAlignment="1" applyProtection="1">
      <alignment horizontal="center" vertical="center"/>
    </xf>
    <xf numFmtId="164" fontId="38" fillId="20" borderId="12" xfId="0" applyNumberFormat="1" applyFont="1" applyFill="1" applyBorder="1" applyAlignment="1">
      <alignment horizontal="center" vertical="center"/>
    </xf>
    <xf numFmtId="164" fontId="44" fillId="0" borderId="12" xfId="6" applyNumberFormat="1" applyFont="1" applyFill="1" applyBorder="1" applyAlignment="1" applyProtection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164" fontId="44" fillId="20" borderId="13" xfId="6" applyNumberFormat="1" applyFont="1" applyFill="1" applyBorder="1" applyAlignment="1" applyProtection="1">
      <alignment horizontal="center" vertical="center" wrapText="1"/>
    </xf>
    <xf numFmtId="164" fontId="44" fillId="20" borderId="15" xfId="6" applyNumberFormat="1" applyFont="1" applyFill="1" applyBorder="1" applyAlignment="1" applyProtection="1">
      <alignment horizontal="center" vertical="center" wrapText="1"/>
    </xf>
    <xf numFmtId="164" fontId="44" fillId="0" borderId="13" xfId="0" applyNumberFormat="1" applyFont="1" applyBorder="1" applyAlignment="1" applyProtection="1">
      <alignment horizontal="center"/>
    </xf>
    <xf numFmtId="164" fontId="44" fillId="0" borderId="15" xfId="0" applyNumberFormat="1" applyFont="1" applyBorder="1" applyAlignment="1" applyProtection="1">
      <alignment horizontal="center"/>
    </xf>
    <xf numFmtId="10" fontId="66" fillId="20" borderId="26" xfId="5" applyNumberFormat="1" applyFont="1" applyFill="1" applyBorder="1" applyAlignment="1">
      <alignment vertical="center"/>
    </xf>
  </cellXfs>
  <cellStyles count="170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Ênfase1 2" xfId="18"/>
    <cellStyle name="20% - Ênfase1 2 2" xfId="121"/>
    <cellStyle name="20% - Ênfase2 2" xfId="19"/>
    <cellStyle name="20% - Ênfase2 2 2" xfId="122"/>
    <cellStyle name="20% - Ênfase3 2" xfId="20"/>
    <cellStyle name="20% - Ênfase3 2 2" xfId="123"/>
    <cellStyle name="20% - Ênfase4 2" xfId="21"/>
    <cellStyle name="20% - Ênfase4 2 2" xfId="124"/>
    <cellStyle name="20% - Ênfase5 2" xfId="22"/>
    <cellStyle name="20% - Ênfase6 2" xfId="23"/>
    <cellStyle name="20% - Ênfase6 2 2" xfId="125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Ênfase1 2" xfId="30"/>
    <cellStyle name="40% - Ênfase1 2 2" xfId="126"/>
    <cellStyle name="40% - Ênfase2 2" xfId="31"/>
    <cellStyle name="40% - Ênfase3 2" xfId="32"/>
    <cellStyle name="40% - Ênfase3 2 2" xfId="127"/>
    <cellStyle name="40% - Ênfase4 2" xfId="33"/>
    <cellStyle name="40% - Ênfase4 2 2" xfId="128"/>
    <cellStyle name="40% - Ênfase5 2" xfId="34"/>
    <cellStyle name="40% - Ênfase5 2 2" xfId="129"/>
    <cellStyle name="40% - Ênfase6 2" xfId="35"/>
    <cellStyle name="40% - Ênfase6 2 2" xfId="130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Ênfase1 2" xfId="42"/>
    <cellStyle name="60% - Ênfase1 2 2" xfId="131"/>
    <cellStyle name="60% - Ênfase2 2" xfId="43"/>
    <cellStyle name="60% - Ênfase2 2 2" xfId="132"/>
    <cellStyle name="60% - Ênfase3 2" xfId="44"/>
    <cellStyle name="60% - Ênfase3 2 2" xfId="133"/>
    <cellStyle name="60% - Ênfase4 2" xfId="45"/>
    <cellStyle name="60% - Ênfase4 2 2" xfId="134"/>
    <cellStyle name="60% - Ênfase5 2" xfId="46"/>
    <cellStyle name="60% - Ênfase5 2 2" xfId="135"/>
    <cellStyle name="60% - Ênfase6 2" xfId="47"/>
    <cellStyle name="60% - Ênfase6 2 2" xfId="136"/>
    <cellStyle name="Accent1" xfId="48"/>
    <cellStyle name="Accent2" xfId="49"/>
    <cellStyle name="Accent3" xfId="50"/>
    <cellStyle name="Accent4" xfId="51"/>
    <cellStyle name="Accent5" xfId="52"/>
    <cellStyle name="Accent6" xfId="53"/>
    <cellStyle name="arrafo de 5" xfId="137"/>
    <cellStyle name="Bad" xfId="54"/>
    <cellStyle name="Bom 2" xfId="55"/>
    <cellStyle name="Bom 2 2" xfId="138"/>
    <cellStyle name="Bom 3" xfId="139"/>
    <cellStyle name="Calculation" xfId="56"/>
    <cellStyle name="Calculation 2" xfId="108"/>
    <cellStyle name="Cálculo 2" xfId="57"/>
    <cellStyle name="Cálculo 2 2" xfId="109"/>
    <cellStyle name="Cálculo 2 3" xfId="140"/>
    <cellStyle name="Célula de Verificação 2" xfId="58"/>
    <cellStyle name="Célula Vinculada 2" xfId="59"/>
    <cellStyle name="Célula Vinculada 2 2" xfId="141"/>
    <cellStyle name="Check Cell" xfId="60"/>
    <cellStyle name="Ênfase1 2" xfId="61"/>
    <cellStyle name="Ênfase1 2 2" xfId="142"/>
    <cellStyle name="Ênfase2 2" xfId="62"/>
    <cellStyle name="Ênfase2 2 2" xfId="143"/>
    <cellStyle name="Ênfase3 2" xfId="63"/>
    <cellStyle name="Ênfase3 2 2" xfId="144"/>
    <cellStyle name="Ênfase4 2" xfId="64"/>
    <cellStyle name="Ênfase4 2 2" xfId="145"/>
    <cellStyle name="Ênfase5 2" xfId="65"/>
    <cellStyle name="Ênfase6 2" xfId="66"/>
    <cellStyle name="Ênfase6 2 2" xfId="146"/>
    <cellStyle name="Entrada 2" xfId="67"/>
    <cellStyle name="Entrada 2 2" xfId="110"/>
    <cellStyle name="Entrada 2 3" xfId="147"/>
    <cellStyle name="Euro" xfId="148"/>
    <cellStyle name="Excel Built-in Comma" xfId="1"/>
    <cellStyle name="Excel Built-in Normal" xfId="2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correto 2" xfId="74"/>
    <cellStyle name="Incorreto 2 2" xfId="149"/>
    <cellStyle name="Input" xfId="75"/>
    <cellStyle name="Input 2" xfId="111"/>
    <cellStyle name="Linked Cell" xfId="76"/>
    <cellStyle name="Moeda 2" xfId="150"/>
    <cellStyle name="Moeda 3" xfId="151"/>
    <cellStyle name="Moeda 3 2" xfId="152"/>
    <cellStyle name="Neutra 2" xfId="77"/>
    <cellStyle name="Neutra 2 2" xfId="153"/>
    <cellStyle name="Neutral" xfId="78"/>
    <cellStyle name="Normal" xfId="0" builtinId="0"/>
    <cellStyle name="Normal 10" xfId="120"/>
    <cellStyle name="Normal 2" xfId="3"/>
    <cellStyle name="Normal 2 2" xfId="154"/>
    <cellStyle name="Normal 3" xfId="11"/>
    <cellStyle name="Normal 4" xfId="94"/>
    <cellStyle name="Normal 5" xfId="96"/>
    <cellStyle name="Normal 6" xfId="7"/>
    <cellStyle name="Normal 7" xfId="98"/>
    <cellStyle name="Normal 8" xfId="101"/>
    <cellStyle name="Normal 9" xfId="105"/>
    <cellStyle name="Normal_Pesquisa no referencial 10 de maio de 2013" xfId="4"/>
    <cellStyle name="Normal_Pesquisa no referencial 10 de maio de 2013 2" xfId="104"/>
    <cellStyle name="Nota 2" xfId="79"/>
    <cellStyle name="Nota 2 2" xfId="112"/>
    <cellStyle name="Nota 2 3" xfId="155"/>
    <cellStyle name="Nota 3" xfId="93"/>
    <cellStyle name="Nota 3 2" xfId="117"/>
    <cellStyle name="Nota 4" xfId="95"/>
    <cellStyle name="Nota 4 2" xfId="118"/>
    <cellStyle name="Nota 5" xfId="97"/>
    <cellStyle name="Nota 5 2" xfId="119"/>
    <cellStyle name="Note" xfId="80"/>
    <cellStyle name="Note 2" xfId="113"/>
    <cellStyle name="Output" xfId="81"/>
    <cellStyle name="Output 2" xfId="114"/>
    <cellStyle name="Porcentagem" xfId="5" builtinId="5"/>
    <cellStyle name="Porcentagem 2" xfId="9"/>
    <cellStyle name="Porcentagem 2 2" xfId="158"/>
    <cellStyle name="Porcentagem 2 3" xfId="157"/>
    <cellStyle name="Porcentagem 3" xfId="100"/>
    <cellStyle name="Porcentagem 3 2" xfId="160"/>
    <cellStyle name="Porcentagem 3 3" xfId="159"/>
    <cellStyle name="Porcentagem 4" xfId="103"/>
    <cellStyle name="Porcentagem 5" xfId="107"/>
    <cellStyle name="Porcentagem 6" xfId="156"/>
    <cellStyle name="Saída 2" xfId="82"/>
    <cellStyle name="Saída 2 2" xfId="115"/>
    <cellStyle name="Saída 2 3" xfId="161"/>
    <cellStyle name="Separador de milhares 2" xfId="162"/>
    <cellStyle name="Separador de milhares 2 2" xfId="163"/>
    <cellStyle name="Separador de milhares 5" xfId="10"/>
    <cellStyle name="Texto de Aviso 2" xfId="83"/>
    <cellStyle name="Texto Explicativo 2" xfId="84"/>
    <cellStyle name="Title" xfId="85"/>
    <cellStyle name="Título 1 2" xfId="87"/>
    <cellStyle name="Título 1 2 2" xfId="164"/>
    <cellStyle name="Título 2 2" xfId="88"/>
    <cellStyle name="Título 2 2 2" xfId="165"/>
    <cellStyle name="Título 3 2" xfId="89"/>
    <cellStyle name="Título 3 2 2" xfId="166"/>
    <cellStyle name="Título 4 2" xfId="90"/>
    <cellStyle name="Título 4 2 2" xfId="167"/>
    <cellStyle name="Título 5" xfId="86"/>
    <cellStyle name="Título 5 2" xfId="168"/>
    <cellStyle name="Total 2" xfId="91"/>
    <cellStyle name="Total 2 2" xfId="116"/>
    <cellStyle name="Vírgula" xfId="6" builtinId="3"/>
    <cellStyle name="Vírgula 2" xfId="8"/>
    <cellStyle name="Vírgula 2 2" xfId="169"/>
    <cellStyle name="Vírgula 3" xfId="99"/>
    <cellStyle name="Vírgula 4" xfId="102"/>
    <cellStyle name="Vírgula 5" xfId="106"/>
    <cellStyle name="Warning Text" xfId="92"/>
  </cellStyles>
  <dxfs count="182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57"/>
      </font>
      <fill>
        <patternFill patternType="solid">
          <bgColor indexed="2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79</xdr:col>
          <xdr:colOff>0</xdr:colOff>
          <xdr:row>239</xdr:row>
          <xdr:rowOff>0</xdr:rowOff>
        </xdr:from>
        <xdr:to>
          <xdr:col>79</xdr:col>
          <xdr:colOff>0</xdr:colOff>
          <xdr:row>240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41</xdr:row>
          <xdr:rowOff>0</xdr:rowOff>
        </xdr:from>
        <xdr:to>
          <xdr:col>5</xdr:col>
          <xdr:colOff>714375</xdr:colOff>
          <xdr:row>44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VINHEMA%20PROJETO_12-2018/PROJETO_12-2018/PLANILHA_IP_ORNAMENTAL_092018_REV0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KP\PREFEITURAS%20MUNIC_DO%20ESTADO%20DE%20MT\Prefeitura%20Municipal%20de%20Primavera%20do%20Leste\Obras%20El&#233;trica%202019\PROJET&#195;O\AV.%20S&#195;O%20SEBASTI&#195;O\AV_S&#195;O_SEBASTI&#195;O%20AJU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PLANILHA ORÇAMENTÁRIA"/>
      <sheetName val="COMPOSIÇÃO"/>
      <sheetName val="BDI"/>
    </sheetNames>
    <sheetDataSet>
      <sheetData sheetId="0"/>
      <sheetData sheetId="1">
        <row r="10">
          <cell r="D10" t="str">
            <v>ELÉTRICA - SERVIÇOS PRELIMINARES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MPOSIÇÃO"/>
    </sheetNames>
    <sheetDataSet>
      <sheetData sheetId="0"/>
      <sheetData sheetId="1">
        <row r="1">
          <cell r="A1" t="str">
            <v>OBRA: IMPLANTAÇÃO DE ILUMINAÇÃO PÚBLICA DO TIPO ORNAMENTAL.</v>
          </cell>
          <cell r="B1"/>
          <cell r="C1"/>
          <cell r="D1"/>
          <cell r="E1"/>
          <cell r="F1"/>
          <cell r="G1"/>
          <cell r="H1"/>
          <cell r="I1"/>
          <cell r="J1"/>
        </row>
        <row r="2">
          <cell r="A2" t="str">
            <v>LOCAL: AVENIDA SÃO SEBASTIÃO</v>
          </cell>
          <cell r="B2"/>
          <cell r="C2"/>
          <cell r="D2"/>
          <cell r="E2"/>
          <cell r="F2"/>
          <cell r="G2"/>
          <cell r="H2"/>
          <cell r="I2"/>
          <cell r="J2"/>
        </row>
        <row r="3">
          <cell r="A3" t="str">
            <v>CIDADE : MUNICÍPIO PRIMA VERA DO LESTE - MT</v>
          </cell>
          <cell r="B3"/>
          <cell r="C3"/>
          <cell r="D3"/>
          <cell r="E3"/>
          <cell r="F3"/>
          <cell r="G3"/>
          <cell r="H3"/>
          <cell r="I3"/>
          <cell r="J3"/>
        </row>
        <row r="4">
          <cell r="A4" t="str">
            <v>BASE: SINAPI 01/2019 - SEM DESONERAÇÃO</v>
          </cell>
          <cell r="B4"/>
          <cell r="C4"/>
          <cell r="D4"/>
          <cell r="E4"/>
          <cell r="F4" t="str">
            <v>BDI ADOTADO: 24,91%</v>
          </cell>
          <cell r="G4"/>
          <cell r="H4"/>
          <cell r="I4"/>
          <cell r="J4"/>
        </row>
        <row r="5">
          <cell r="A5" t="str">
            <v>COMPOSIÇÃO UNITÁRIA</v>
          </cell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A6" t="str">
            <v>ITEM</v>
          </cell>
          <cell r="B6" t="str">
            <v>CLASSE/TIPO</v>
          </cell>
          <cell r="C6" t="str">
            <v xml:space="preserve">CÓD. </v>
          </cell>
          <cell r="D6" t="str">
            <v>DISCRIMINAÇÃO DOS SERVIÇOS</v>
          </cell>
          <cell r="E6" t="str">
            <v>UN</v>
          </cell>
          <cell r="F6" t="str">
            <v>QUANT.</v>
          </cell>
          <cell r="G6" t="str">
            <v>UNITÁRIO</v>
          </cell>
          <cell r="H6" t="str">
            <v>MATERIAL</v>
          </cell>
          <cell r="I6" t="str">
            <v>MÃO DE OBRA</v>
          </cell>
          <cell r="J6" t="str">
            <v>TOTAL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A8">
            <v>1</v>
          </cell>
          <cell r="B8"/>
          <cell r="C8"/>
          <cell r="D8" t="str">
            <v>SERVIÇOS PRELIMINARES</v>
          </cell>
          <cell r="E8"/>
          <cell r="F8"/>
          <cell r="G8"/>
          <cell r="H8"/>
          <cell r="I8"/>
          <cell r="J8"/>
        </row>
        <row r="9">
          <cell r="A9"/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A10" t="str">
            <v>1.1</v>
          </cell>
          <cell r="B10" t="str">
            <v>CANT</v>
          </cell>
          <cell r="C10" t="str">
            <v>74209/001</v>
          </cell>
          <cell r="D10" t="str">
            <v>PLACA DE OBRA EM CHAPA DE ACO GALVANIZADO</v>
          </cell>
          <cell r="E10" t="str">
            <v>M2</v>
          </cell>
          <cell r="F10">
            <v>1</v>
          </cell>
          <cell r="G10"/>
          <cell r="H10">
            <v>425.58</v>
          </cell>
          <cell r="I10">
            <v>54.07</v>
          </cell>
          <cell r="J10">
            <v>479.65</v>
          </cell>
        </row>
        <row r="11">
          <cell r="A11"/>
          <cell r="B11" t="str">
            <v>COMPOSICAO</v>
          </cell>
          <cell r="C11" t="str">
            <v>88262</v>
          </cell>
          <cell r="D11" t="str">
            <v>CARPINTEIRO DE FORMAS COM ENCARGOS COMPLEMENTARES</v>
          </cell>
          <cell r="E11" t="str">
            <v>H</v>
          </cell>
          <cell r="F11">
            <v>1</v>
          </cell>
          <cell r="G11">
            <v>21.21</v>
          </cell>
          <cell r="H11"/>
          <cell r="I11">
            <v>21.21</v>
          </cell>
          <cell r="J11"/>
        </row>
        <row r="12">
          <cell r="A12"/>
          <cell r="B12" t="str">
            <v>COMPOSICAO</v>
          </cell>
          <cell r="C12" t="str">
            <v>88316</v>
          </cell>
          <cell r="D12" t="str">
            <v>SERVENTE COM ENCARGOS COMPLEMENTARES</v>
          </cell>
          <cell r="E12" t="str">
            <v>H</v>
          </cell>
          <cell r="F12">
            <v>2</v>
          </cell>
          <cell r="G12">
            <v>16.43</v>
          </cell>
          <cell r="H12"/>
          <cell r="I12">
            <v>32.86</v>
          </cell>
          <cell r="J12"/>
        </row>
        <row r="13">
          <cell r="A13"/>
          <cell r="B13" t="str">
            <v>COMPOSICAO</v>
          </cell>
          <cell r="C13" t="str">
            <v>94962</v>
          </cell>
          <cell r="D13" t="str">
            <v>CONCRETO MAGRO PARA LASTRO, TRAÇO 1:4,5:4,5 (CIMENTO/ AREIA MÉDIA/ BRITA 1)  - PREPARO MECÂNICO COM BETONEIRA 400 L. AF_07/2016</v>
          </cell>
          <cell r="E13" t="str">
            <v>M3</v>
          </cell>
          <cell r="F13">
            <v>0.01</v>
          </cell>
          <cell r="G13">
            <v>272.3</v>
          </cell>
          <cell r="H13">
            <v>2.77</v>
          </cell>
          <cell r="I13"/>
          <cell r="J13"/>
        </row>
        <row r="14">
          <cell r="A14"/>
          <cell r="B14" t="str">
            <v>INSUMO</v>
          </cell>
          <cell r="C14" t="str">
            <v>4417</v>
          </cell>
          <cell r="D14" t="str">
            <v>SARRAFO DE MADEIRA NAO APARELHADA *2,5 X 7* CM, MACARANDUBA, ANGELIM OU EQUIVALENTE DA REGIAO</v>
          </cell>
          <cell r="E14" t="str">
            <v>M</v>
          </cell>
          <cell r="F14">
            <v>1</v>
          </cell>
          <cell r="G14">
            <v>2.81</v>
          </cell>
          <cell r="H14">
            <v>2.81</v>
          </cell>
          <cell r="I14"/>
          <cell r="J14"/>
        </row>
        <row r="15">
          <cell r="A15"/>
          <cell r="B15" t="str">
            <v>INSUMO</v>
          </cell>
          <cell r="C15" t="str">
            <v>4491</v>
          </cell>
          <cell r="D15" t="str">
            <v>PONTALETE DE MADEIRA NAO APARELHADA *7,5 X 7,5* CM (3 X 3 ") PINUS, MISTA OU EQUIVALENTE DA REGIAO.</v>
          </cell>
          <cell r="E15" t="str">
            <v>M</v>
          </cell>
          <cell r="F15">
            <v>4</v>
          </cell>
          <cell r="G15">
            <v>4.7</v>
          </cell>
          <cell r="H15">
            <v>18.8</v>
          </cell>
          <cell r="I15"/>
          <cell r="J15"/>
        </row>
        <row r="16">
          <cell r="A16"/>
          <cell r="B16" t="str">
            <v>INSUMO</v>
          </cell>
          <cell r="C16" t="str">
            <v>4813</v>
          </cell>
          <cell r="D16" t="str">
            <v>PLACA DE OBRA (PARA CONSTRUCAO CIVIL) EM CHAPA GALVANIZADA *N. 22*, DE *2,0 X 1,125* M</v>
          </cell>
          <cell r="E16" t="str">
            <v>M2</v>
          </cell>
          <cell r="F16">
            <v>1</v>
          </cell>
          <cell r="G16">
            <v>400</v>
          </cell>
          <cell r="H16">
            <v>400</v>
          </cell>
          <cell r="I16"/>
          <cell r="J16"/>
        </row>
        <row r="17">
          <cell r="A17"/>
          <cell r="B17" t="str">
            <v>INSUMO</v>
          </cell>
          <cell r="C17" t="str">
            <v>5075</v>
          </cell>
          <cell r="D17" t="str">
            <v>PREGO DE ACO POLIDO COM CABECA 18 X 30 (2 3/4 X 10)</v>
          </cell>
          <cell r="E17" t="str">
            <v>KG</v>
          </cell>
          <cell r="F17">
            <v>0.104</v>
          </cell>
          <cell r="G17">
            <v>11.59</v>
          </cell>
          <cell r="H17">
            <v>1.2</v>
          </cell>
          <cell r="I17"/>
          <cell r="J17"/>
        </row>
        <row r="18">
          <cell r="A18"/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A19">
            <v>2</v>
          </cell>
          <cell r="B19"/>
          <cell r="C19"/>
          <cell r="D19" t="str">
            <v>SERVIÇOS EM TERRA/ESTRUTURAIS</v>
          </cell>
          <cell r="E19"/>
          <cell r="F19"/>
          <cell r="G19"/>
          <cell r="H19"/>
          <cell r="I19"/>
          <cell r="J19"/>
        </row>
        <row r="20">
          <cell r="A20" t="str">
            <v>2.1</v>
          </cell>
          <cell r="B20" t="str">
            <v>MOVT</v>
          </cell>
          <cell r="C20" t="str">
            <v>93358</v>
          </cell>
          <cell r="D20" t="str">
            <v>ESCAVAÇÃO MANUAL DE VALA COM PROFUNDIDADE MENOR OU IGUAL A 1,30 M. AF_03/2016</v>
          </cell>
          <cell r="E20" t="str">
            <v>M3</v>
          </cell>
          <cell r="F20" t="str">
            <v/>
          </cell>
          <cell r="G20">
            <v>65.069999999999993</v>
          </cell>
          <cell r="H20">
            <v>0</v>
          </cell>
          <cell r="I20">
            <v>64.989999999999995</v>
          </cell>
          <cell r="J20">
            <v>64.989999999999995</v>
          </cell>
        </row>
        <row r="21">
          <cell r="A21"/>
          <cell r="B21" t="str">
            <v>COMPOSICAO</v>
          </cell>
          <cell r="C21" t="str">
            <v>88316</v>
          </cell>
          <cell r="D21" t="str">
            <v>SERVENTE COM ENCARGOS COMPLEMENTARES</v>
          </cell>
          <cell r="E21" t="str">
            <v>H</v>
          </cell>
          <cell r="F21">
            <v>3.956</v>
          </cell>
          <cell r="G21">
            <v>16.43</v>
          </cell>
          <cell r="H21"/>
          <cell r="I21">
            <v>64.989999999999995</v>
          </cell>
          <cell r="J21"/>
        </row>
        <row r="22">
          <cell r="A22"/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A23" t="str">
            <v>2.2</v>
          </cell>
          <cell r="B23" t="str">
            <v>MOVT</v>
          </cell>
          <cell r="C23">
            <v>96995</v>
          </cell>
          <cell r="D23" t="str">
            <v>REATERRO MANUAL APILOADO COM SOQUETE. AF_10/2017</v>
          </cell>
          <cell r="E23" t="str">
            <v>M3</v>
          </cell>
          <cell r="F23" t="str">
            <v/>
          </cell>
          <cell r="G23">
            <v>39.450000000000003</v>
          </cell>
          <cell r="H23">
            <v>0</v>
          </cell>
          <cell r="I23">
            <v>39.409999999999997</v>
          </cell>
          <cell r="J23">
            <v>39.409999999999997</v>
          </cell>
        </row>
        <row r="24">
          <cell r="A24"/>
          <cell r="B24" t="str">
            <v>COMPOSICAO</v>
          </cell>
          <cell r="C24">
            <v>88316</v>
          </cell>
          <cell r="D24" t="str">
            <v>SERVENTE COM ENCARGOS COMPLEMENTARES</v>
          </cell>
          <cell r="E24" t="str">
            <v>H</v>
          </cell>
          <cell r="F24">
            <v>2.3986999999999998</v>
          </cell>
          <cell r="G24">
            <v>16.43</v>
          </cell>
          <cell r="H24"/>
          <cell r="I24">
            <v>39.409999999999997</v>
          </cell>
          <cell r="J24"/>
        </row>
        <row r="25">
          <cell r="A25"/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A26" t="str">
            <v>2.3</v>
          </cell>
          <cell r="B26" t="str">
            <v>FUES</v>
          </cell>
          <cell r="C26">
            <v>94975</v>
          </cell>
          <cell r="D26" t="str">
            <v>CONCRETO FCK = 15MPA, TRAÇO 1:3,4:3,5 (CIMENTO/ AREIA MÉDIA/ BRITA 1) - PREPARO MANUAL. AF_07/2016 (PARA BASES DOS POSTES)</v>
          </cell>
          <cell r="E26" t="str">
            <v>M3</v>
          </cell>
          <cell r="F26" t="str">
            <v/>
          </cell>
          <cell r="G26">
            <v>401.6</v>
          </cell>
          <cell r="H26">
            <v>243.63</v>
          </cell>
          <cell r="I26">
            <v>164.62</v>
          </cell>
          <cell r="J26">
            <v>408.25</v>
          </cell>
        </row>
        <row r="27">
          <cell r="A27"/>
          <cell r="B27" t="str">
            <v>COMPOSICAO</v>
          </cell>
          <cell r="C27" t="str">
            <v>88316</v>
          </cell>
          <cell r="D27" t="str">
            <v>SERVENTE COM ENCARGOS COMPLEMENTARES</v>
          </cell>
          <cell r="E27" t="str">
            <v>H</v>
          </cell>
          <cell r="F27">
            <v>10.02</v>
          </cell>
          <cell r="G27">
            <v>16.43</v>
          </cell>
          <cell r="H27"/>
          <cell r="I27">
            <v>164.62</v>
          </cell>
          <cell r="J27"/>
        </row>
        <row r="28">
          <cell r="A28"/>
          <cell r="B28" t="str">
            <v>INSUMO</v>
          </cell>
          <cell r="C28">
            <v>370</v>
          </cell>
          <cell r="D28" t="str">
            <v>AREIA MEDIA - POSTO JAZIDA/FORNECEDOR (RETIRADO NA JAZIDA, SEM TRANSPORTE)</v>
          </cell>
          <cell r="E28" t="str">
            <v>M3</v>
          </cell>
          <cell r="F28">
            <v>0.85</v>
          </cell>
          <cell r="G28">
            <v>62.75</v>
          </cell>
          <cell r="H28">
            <v>53.33</v>
          </cell>
          <cell r="I28"/>
          <cell r="J28"/>
        </row>
        <row r="29">
          <cell r="A29"/>
          <cell r="B29" t="str">
            <v>INSUMO</v>
          </cell>
          <cell r="C29" t="str">
            <v>1379</v>
          </cell>
          <cell r="D29" t="str">
            <v>CIMENTO PORTLAND COMPOSTO CP II-32</v>
          </cell>
          <cell r="E29" t="str">
            <v>KG</v>
          </cell>
          <cell r="F29">
            <v>277.72000000000003</v>
          </cell>
          <cell r="G29">
            <v>0.55000000000000004</v>
          </cell>
          <cell r="H29">
            <v>152.74</v>
          </cell>
          <cell r="I29"/>
          <cell r="J29"/>
        </row>
        <row r="30">
          <cell r="A30"/>
          <cell r="B30" t="str">
            <v>INSUMO</v>
          </cell>
          <cell r="C30" t="str">
            <v>4721</v>
          </cell>
          <cell r="D30" t="str">
            <v>PEDRA BRITADA N. 1 (9,5 a 19 MM) POSTO PEDREIRA/FORNECEDOR, SEM FRETE</v>
          </cell>
          <cell r="E30" t="str">
            <v>M3</v>
          </cell>
          <cell r="F30">
            <v>0.58899999999999997</v>
          </cell>
          <cell r="G30">
            <v>63.77</v>
          </cell>
          <cell r="H30">
            <v>37.56</v>
          </cell>
          <cell r="I30"/>
          <cell r="J30"/>
        </row>
        <row r="31">
          <cell r="A31"/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A32" t="str">
            <v>2.4</v>
          </cell>
          <cell r="B32" t="str">
            <v>INEL</v>
          </cell>
          <cell r="C32" t="str">
            <v xml:space="preserve">74157/004 </v>
          </cell>
          <cell r="D32" t="str">
            <v>LANCAMENTO/APLICACAO MANUAL DE CONCRETO EM FUNDACOES</v>
          </cell>
          <cell r="E32" t="str">
            <v>M³</v>
          </cell>
          <cell r="F32" t="str">
            <v/>
          </cell>
          <cell r="G32">
            <v>107.95</v>
          </cell>
          <cell r="H32">
            <v>0.36</v>
          </cell>
          <cell r="I32">
            <v>107.47</v>
          </cell>
          <cell r="J32">
            <v>107.83</v>
          </cell>
        </row>
        <row r="33">
          <cell r="A33"/>
          <cell r="B33" t="str">
            <v>COMPOSICAO</v>
          </cell>
          <cell r="C33">
            <v>88309</v>
          </cell>
          <cell r="D33" t="str">
            <v>PEDREIRO COM ENCARGOS COMPLEMENTARES</v>
          </cell>
          <cell r="E33" t="str">
            <v>H</v>
          </cell>
          <cell r="F33">
            <v>1.65</v>
          </cell>
          <cell r="G33">
            <v>20.329999999999998</v>
          </cell>
          <cell r="H33"/>
          <cell r="I33">
            <v>33.54</v>
          </cell>
          <cell r="J33"/>
        </row>
        <row r="34">
          <cell r="A34"/>
          <cell r="B34" t="str">
            <v>COMPOSICAO</v>
          </cell>
          <cell r="C34" t="str">
            <v>88316</v>
          </cell>
          <cell r="D34" t="str">
            <v>SERVENTE COM ENCARGOS COMPLEMENTARES</v>
          </cell>
          <cell r="E34" t="str">
            <v>H</v>
          </cell>
          <cell r="F34">
            <v>4.5</v>
          </cell>
          <cell r="G34">
            <v>16.43</v>
          </cell>
          <cell r="H34"/>
          <cell r="I34">
            <v>73.930000000000007</v>
          </cell>
          <cell r="J34"/>
        </row>
        <row r="35">
          <cell r="A35"/>
          <cell r="B35" t="str">
            <v>COMPOSICAO</v>
          </cell>
          <cell r="C35" t="str">
            <v>90586</v>
          </cell>
          <cell r="D35" t="str">
            <v>VIBRADOR DE IMERSÃO, DIÂMETRO DE PONTEIRA 45MM, MOTOR ELÉTRICO TRIFÁSICO POTÊNCIA DE 2 CV - CHP DIURNO. AF_06/2015</v>
          </cell>
          <cell r="E35" t="str">
            <v>CHP</v>
          </cell>
          <cell r="F35">
            <v>0.3</v>
          </cell>
          <cell r="G35">
            <v>1.21</v>
          </cell>
          <cell r="H35">
            <v>0.36</v>
          </cell>
          <cell r="I35"/>
          <cell r="J35"/>
        </row>
        <row r="36">
          <cell r="A36"/>
          <cell r="B36"/>
          <cell r="C36"/>
          <cell r="D36"/>
          <cell r="E36"/>
          <cell r="F36"/>
          <cell r="G36"/>
          <cell r="H36"/>
          <cell r="I36"/>
          <cell r="J36"/>
        </row>
        <row r="37">
          <cell r="A37" t="str">
            <v>2.5</v>
          </cell>
          <cell r="B37" t="str">
            <v>INEL</v>
          </cell>
          <cell r="C37" t="str">
            <v>COMPOSIÇÃO 02</v>
          </cell>
          <cell r="D37" t="str">
            <v>ELETRODUTO PVC FLEXÍVEL CORRUGADO, DN 25 MM (1"), PARA CIRCUITOS TERMINAIS, INSTALADO EM SOLO - FORNECIMENTO E INSTALAÇÃO.</v>
          </cell>
          <cell r="E37" t="str">
            <v>M</v>
          </cell>
          <cell r="F37" t="str">
            <v/>
          </cell>
          <cell r="G37"/>
          <cell r="H37">
            <v>1.1599999999999999</v>
          </cell>
          <cell r="I37">
            <v>3.73</v>
          </cell>
          <cell r="J37">
            <v>4.8899999999999997</v>
          </cell>
        </row>
        <row r="38">
          <cell r="A38"/>
          <cell r="B38" t="str">
            <v>COMPOSICAO</v>
          </cell>
          <cell r="C38" t="str">
            <v>88247</v>
          </cell>
          <cell r="D38" t="str">
            <v>AUXILIAR DE ELETRICISTA COM ENCARGOS COMPLEMENTARES</v>
          </cell>
          <cell r="E38" t="str">
            <v>H</v>
          </cell>
          <cell r="F38">
            <v>0.1</v>
          </cell>
          <cell r="G38">
            <v>16.3</v>
          </cell>
          <cell r="H38"/>
          <cell r="I38">
            <v>1.63</v>
          </cell>
          <cell r="J38"/>
        </row>
        <row r="39">
          <cell r="A39"/>
          <cell r="B39" t="str">
            <v>COMPOSICAO</v>
          </cell>
          <cell r="C39" t="str">
            <v>88264</v>
          </cell>
          <cell r="D39" t="str">
            <v>ELETRICISTA COM ENCARGOS COMPLEMENTARES</v>
          </cell>
          <cell r="E39" t="str">
            <v>H</v>
          </cell>
          <cell r="F39">
            <v>0.1</v>
          </cell>
          <cell r="G39">
            <v>21.05</v>
          </cell>
          <cell r="H39"/>
          <cell r="I39">
            <v>2.1</v>
          </cell>
          <cell r="J39"/>
        </row>
        <row r="40">
          <cell r="A40"/>
          <cell r="B40" t="str">
            <v>INSUMO</v>
          </cell>
          <cell r="C40">
            <v>2688</v>
          </cell>
          <cell r="D40" t="str">
            <v>ELETRODUTO PVC FLEXIVEL CORRUGADO, COR AMARELA, DE 25 MM</v>
          </cell>
          <cell r="E40" t="str">
            <v>M</v>
          </cell>
          <cell r="F40">
            <v>1</v>
          </cell>
          <cell r="G40">
            <v>1.1599999999999999</v>
          </cell>
          <cell r="H40">
            <v>1.1599999999999999</v>
          </cell>
          <cell r="I40"/>
          <cell r="J40"/>
        </row>
        <row r="41">
          <cell r="A41"/>
          <cell r="B41"/>
          <cell r="C41"/>
          <cell r="D41" t="str">
            <v>COMPOSIÇÃO REFERÊNCIA: SINAPI - 91844</v>
          </cell>
          <cell r="E41"/>
          <cell r="F41"/>
          <cell r="G41"/>
          <cell r="H41"/>
          <cell r="I41"/>
          <cell r="J41"/>
        </row>
        <row r="42">
          <cell r="A42"/>
          <cell r="B42"/>
          <cell r="C42"/>
          <cell r="D42"/>
          <cell r="E42"/>
          <cell r="F42"/>
          <cell r="G42"/>
          <cell r="H42"/>
          <cell r="I42"/>
          <cell r="J42"/>
        </row>
        <row r="43">
          <cell r="A43" t="str">
            <v>2.6</v>
          </cell>
          <cell r="B43" t="str">
            <v>INEL</v>
          </cell>
          <cell r="C43" t="str">
            <v>COMPOSIÇÃO 03</v>
          </cell>
          <cell r="D43" t="str">
            <v>ELETRODUTODUTO PEAD FLEXIVEL PAREDE SIMPLES, CORRUGACAO HELICOIDAL, CORPRETA, SEM ROSCA, DE 1 1/4", PARA CABEAMENTO SUBTERRANEO (NBR 15715)</v>
          </cell>
          <cell r="E43" t="str">
            <v>M</v>
          </cell>
          <cell r="F43" t="str">
            <v/>
          </cell>
          <cell r="G43"/>
          <cell r="H43">
            <v>2.12</v>
          </cell>
          <cell r="I43">
            <v>18.670000000000002</v>
          </cell>
          <cell r="J43">
            <v>20.79</v>
          </cell>
        </row>
        <row r="44">
          <cell r="A44"/>
          <cell r="B44" t="str">
            <v>INSUMO</v>
          </cell>
          <cell r="C44">
            <v>39247</v>
          </cell>
          <cell r="D44" t="str">
            <v>ELETRODUTO/DUTO PEAD FLEXIVEL PAREDE SIMPLES, CORRUGACAO HELICOIDAL, COR PRETA, SEM ROSCA, DE 1 1/4",  PARA CABEAMENTO SUBTERRANEO (NBR 15715)</v>
          </cell>
          <cell r="E44" t="str">
            <v>M</v>
          </cell>
          <cell r="F44">
            <v>1</v>
          </cell>
          <cell r="G44">
            <v>2.12</v>
          </cell>
          <cell r="H44">
            <v>2.12</v>
          </cell>
          <cell r="I44"/>
          <cell r="J44"/>
        </row>
        <row r="45">
          <cell r="A45"/>
          <cell r="B45" t="str">
            <v>COMPOSICAO</v>
          </cell>
          <cell r="C45" t="str">
            <v>88247</v>
          </cell>
          <cell r="D45" t="str">
            <v>AUXILIAR DE ELETRICISTA COM ENCARGOS COMPLEMENTARES</v>
          </cell>
          <cell r="E45" t="str">
            <v>H</v>
          </cell>
          <cell r="F45">
            <v>0.5</v>
          </cell>
          <cell r="G45">
            <v>16.3</v>
          </cell>
          <cell r="H45"/>
          <cell r="I45">
            <v>8.15</v>
          </cell>
          <cell r="J45"/>
        </row>
        <row r="46">
          <cell r="A46"/>
          <cell r="B46" t="str">
            <v>COMPOSICAO</v>
          </cell>
          <cell r="C46" t="str">
            <v>88264</v>
          </cell>
          <cell r="D46" t="str">
            <v>ELETRICISTA COM ENCARGOS COMPLEMENTARES</v>
          </cell>
          <cell r="E46" t="str">
            <v>H</v>
          </cell>
          <cell r="F46">
            <v>0.5</v>
          </cell>
          <cell r="G46">
            <v>21.05</v>
          </cell>
          <cell r="H46"/>
          <cell r="I46">
            <v>10.52</v>
          </cell>
          <cell r="J46"/>
        </row>
        <row r="47">
          <cell r="A47"/>
          <cell r="B47"/>
          <cell r="C47"/>
          <cell r="D47" t="str">
            <v>COMPOSIÇÃO REFERÊNCIA: SINAPI - 73798/001</v>
          </cell>
          <cell r="E47"/>
          <cell r="F47"/>
          <cell r="G47"/>
          <cell r="H47"/>
          <cell r="I47"/>
          <cell r="J47"/>
        </row>
        <row r="48">
          <cell r="A48"/>
          <cell r="B48"/>
          <cell r="C48"/>
          <cell r="D48"/>
          <cell r="E48"/>
          <cell r="F48"/>
          <cell r="G48"/>
          <cell r="H48"/>
          <cell r="I48"/>
          <cell r="J48"/>
        </row>
        <row r="49">
          <cell r="A49" t="str">
            <v>2.7</v>
          </cell>
          <cell r="B49" t="str">
            <v>NÃO AFERIDA</v>
          </cell>
          <cell r="C49" t="str">
            <v>83446</v>
          </cell>
          <cell r="D49" t="str">
            <v>CAIXA DE PASSAGEM 30X30X40 COM TAMPA E DRENO BRITA</v>
          </cell>
          <cell r="E49" t="str">
            <v>UN</v>
          </cell>
          <cell r="F49" t="str">
            <v/>
          </cell>
          <cell r="G49">
            <v>160.61000000000001</v>
          </cell>
          <cell r="H49">
            <v>52.49</v>
          </cell>
          <cell r="I49">
            <v>107.8</v>
          </cell>
          <cell r="J49">
            <v>160.29</v>
          </cell>
        </row>
        <row r="50">
          <cell r="A50"/>
          <cell r="B50" t="str">
            <v>INSUMO</v>
          </cell>
          <cell r="C50" t="str">
            <v>39</v>
          </cell>
          <cell r="D50" t="str">
            <v>ACO CA-60, 5,0 MM, VERGALHAO</v>
          </cell>
          <cell r="E50" t="str">
            <v>KG</v>
          </cell>
          <cell r="F50">
            <v>2.15</v>
          </cell>
          <cell r="G50">
            <v>4.99</v>
          </cell>
          <cell r="H50">
            <v>10.72</v>
          </cell>
          <cell r="I50"/>
          <cell r="J50"/>
        </row>
        <row r="51">
          <cell r="A51"/>
          <cell r="B51" t="str">
            <v>INSUMO</v>
          </cell>
          <cell r="C51" t="str">
            <v>370</v>
          </cell>
          <cell r="D51" t="str">
            <v>AREIA MEDIA - POSTO JAZIDA/FORNECEDOR (RETIRADO NA JAZIDA, SEM TRANSPORTE)</v>
          </cell>
          <cell r="E51" t="str">
            <v>M3</v>
          </cell>
          <cell r="F51">
            <v>6.5299999999999997E-2</v>
          </cell>
          <cell r="G51">
            <v>62.75</v>
          </cell>
          <cell r="H51">
            <v>4.09</v>
          </cell>
          <cell r="I51"/>
          <cell r="J51"/>
        </row>
        <row r="52">
          <cell r="A52"/>
          <cell r="B52" t="str">
            <v>INSUMO</v>
          </cell>
          <cell r="C52" t="str">
            <v>1106</v>
          </cell>
          <cell r="D52" t="str">
            <v>CAL HIDRATADA CH-I PARA ARGAMASSAS</v>
          </cell>
          <cell r="E52" t="str">
            <v>KG</v>
          </cell>
          <cell r="F52">
            <v>3.0095999999999998</v>
          </cell>
          <cell r="G52">
            <v>0.59</v>
          </cell>
          <cell r="H52">
            <v>1.77</v>
          </cell>
          <cell r="I52"/>
          <cell r="J52"/>
        </row>
        <row r="53">
          <cell r="A53"/>
          <cell r="B53" t="str">
            <v>INSUMO</v>
          </cell>
          <cell r="C53" t="str">
            <v>1358</v>
          </cell>
          <cell r="D53" t="str">
            <v>CHAPA DE MADEIRA COMPENSADA RESINADA PARA FORMA DE CONCRETO, DE *2,2 X 1,1* M, E = 17 MM</v>
          </cell>
          <cell r="E53" t="str">
            <v>M2</v>
          </cell>
          <cell r="F53">
            <v>0.06</v>
          </cell>
          <cell r="G53">
            <v>24.01</v>
          </cell>
          <cell r="H53">
            <v>1.44</v>
          </cell>
          <cell r="I53"/>
          <cell r="J53"/>
        </row>
        <row r="54">
          <cell r="A54"/>
          <cell r="B54" t="str">
            <v>INSUMO</v>
          </cell>
          <cell r="C54" t="str">
            <v>1379</v>
          </cell>
          <cell r="D54" t="str">
            <v>CIMENTO PORTLAND COMPOSTO CP II-32</v>
          </cell>
          <cell r="E54" t="str">
            <v>KG</v>
          </cell>
          <cell r="F54">
            <v>18.5</v>
          </cell>
          <cell r="G54">
            <v>0.57999999999999996</v>
          </cell>
          <cell r="H54">
            <v>10.73</v>
          </cell>
          <cell r="I54"/>
          <cell r="J54"/>
        </row>
        <row r="55">
          <cell r="A55"/>
          <cell r="B55" t="str">
            <v>INSUMO</v>
          </cell>
          <cell r="C55" t="str">
            <v>4721</v>
          </cell>
          <cell r="D55" t="str">
            <v>PEDRA BRITADA N. 1 (9,5 a 19 MM) POSTO PEDREIRA/FORNECEDOR, SEM FRETE</v>
          </cell>
          <cell r="E55" t="str">
            <v>M3</v>
          </cell>
          <cell r="F55">
            <v>3.6600000000000001E-2</v>
          </cell>
          <cell r="G55">
            <v>63.77</v>
          </cell>
          <cell r="H55">
            <v>2.33</v>
          </cell>
          <cell r="I55"/>
          <cell r="J55"/>
        </row>
        <row r="56">
          <cell r="A56"/>
          <cell r="B56" t="str">
            <v>INSUMO</v>
          </cell>
          <cell r="C56" t="str">
            <v>4722</v>
          </cell>
          <cell r="D56" t="str">
            <v>PEDRA BRITADA N. 3 (38 A 50 MM) POSTO PEDREIRA/FORNECEDOR, SEM FRETE</v>
          </cell>
          <cell r="E56" t="str">
            <v>M3</v>
          </cell>
          <cell r="F56">
            <v>4.0000000000000001E-3</v>
          </cell>
          <cell r="G56">
            <v>63.77</v>
          </cell>
          <cell r="H56">
            <v>0.25</v>
          </cell>
          <cell r="I56"/>
          <cell r="J56"/>
        </row>
        <row r="57">
          <cell r="A57"/>
          <cell r="B57" t="str">
            <v>INSUMO</v>
          </cell>
          <cell r="C57" t="str">
            <v>7258</v>
          </cell>
          <cell r="D57" t="str">
            <v>TIJOLO CERAMICO MACICO *5 X 10 X 20* CM</v>
          </cell>
          <cell r="E57" t="str">
            <v>UN</v>
          </cell>
          <cell r="F57">
            <v>60.48</v>
          </cell>
          <cell r="G57">
            <v>0.35</v>
          </cell>
          <cell r="H57">
            <v>21.16</v>
          </cell>
          <cell r="I57"/>
          <cell r="J57"/>
        </row>
        <row r="58">
          <cell r="A58"/>
          <cell r="B58" t="str">
            <v>COMPOSICAO</v>
          </cell>
          <cell r="C58" t="str">
            <v>88309</v>
          </cell>
          <cell r="D58" t="str">
            <v>PEDREIRO COM ENCARGOS COMPLEMENTARES</v>
          </cell>
          <cell r="E58" t="str">
            <v>H</v>
          </cell>
          <cell r="F58">
            <v>1.6789000000000001</v>
          </cell>
          <cell r="G58">
            <v>20.329999999999998</v>
          </cell>
          <cell r="H58"/>
          <cell r="I58">
            <v>34.130000000000003</v>
          </cell>
          <cell r="J58"/>
        </row>
        <row r="59">
          <cell r="A59"/>
          <cell r="B59" t="str">
            <v>COMPOSICAO</v>
          </cell>
          <cell r="C59" t="str">
            <v>88316</v>
          </cell>
          <cell r="D59" t="str">
            <v>SERVENTE COM ENCARGOS COMPLEMENTARES</v>
          </cell>
          <cell r="E59" t="str">
            <v>H</v>
          </cell>
          <cell r="F59">
            <v>4.4839000000000002</v>
          </cell>
          <cell r="G59">
            <v>16.43</v>
          </cell>
          <cell r="H59"/>
          <cell r="I59">
            <v>73.67</v>
          </cell>
          <cell r="J59"/>
        </row>
        <row r="60">
          <cell r="A60"/>
          <cell r="B60"/>
          <cell r="C60"/>
          <cell r="D60"/>
          <cell r="E60"/>
          <cell r="F60"/>
          <cell r="G60"/>
          <cell r="H60"/>
          <cell r="I60"/>
          <cell r="J60"/>
        </row>
        <row r="61">
          <cell r="A61" t="str">
            <v>2.8</v>
          </cell>
          <cell r="B61" t="str">
            <v>INHI</v>
          </cell>
          <cell r="C61">
            <v>92364</v>
          </cell>
          <cell r="D61" t="str">
            <v>TUBO DE AÇO GALVANIZADO COM COSTURA, CLASSE MÉDIA, DN 32 (1 1/4"), CONEXÃO ROSQUEADA, INSTALADO EM REDE DE ALIMENTAÇÃO PARA HIDRANTE - FORNECIMENTO E INSTALAÇÃO. AF_12/2015</v>
          </cell>
          <cell r="E61" t="str">
            <v>M</v>
          </cell>
          <cell r="F61"/>
          <cell r="G61">
            <v>35.78</v>
          </cell>
          <cell r="H61">
            <v>29.2</v>
          </cell>
          <cell r="I61">
            <v>6.76</v>
          </cell>
          <cell r="J61">
            <v>35.96</v>
          </cell>
        </row>
        <row r="62">
          <cell r="A62"/>
          <cell r="B62" t="str">
            <v>COMPOSICAO</v>
          </cell>
          <cell r="C62">
            <v>88248</v>
          </cell>
          <cell r="D62" t="str">
            <v>AUXILIAR DE ENCANADOR OU BOMBEIRO HIDRÁULICO COM ENCARGOS COMPLEMENTARES</v>
          </cell>
          <cell r="E62" t="str">
            <v>H</v>
          </cell>
          <cell r="F62">
            <v>0.17799999999999999</v>
          </cell>
          <cell r="G62">
            <v>16.21</v>
          </cell>
          <cell r="H62"/>
          <cell r="I62">
            <v>2.88</v>
          </cell>
          <cell r="J62"/>
        </row>
        <row r="63">
          <cell r="A63"/>
          <cell r="B63" t="str">
            <v>COMPOSICAO</v>
          </cell>
          <cell r="C63">
            <v>88267</v>
          </cell>
          <cell r="D63" t="str">
            <v>ENCANADOR OU BOMBEIRO HIDRÁULICO COM ENCARGOS COMPLEMENTARES</v>
          </cell>
          <cell r="E63" t="str">
            <v>H</v>
          </cell>
          <cell r="F63">
            <v>0.17799999999999999</v>
          </cell>
          <cell r="G63">
            <v>21.81</v>
          </cell>
          <cell r="H63"/>
          <cell r="I63">
            <v>3.88</v>
          </cell>
          <cell r="J63"/>
        </row>
        <row r="64">
          <cell r="A64"/>
          <cell r="B64" t="str">
            <v>INSUMO</v>
          </cell>
          <cell r="C64">
            <v>7698</v>
          </cell>
          <cell r="D64" t="str">
            <v>TUBO ACO GALVANIZADO COM COSTURA, CLASSE MEDIA, DN 1.1/4", E = *3,25* MM, PESO *3,14* KG/M (NBR 5580)</v>
          </cell>
          <cell r="E64" t="str">
            <v>M</v>
          </cell>
          <cell r="F64">
            <v>1.0389999999999999</v>
          </cell>
          <cell r="G64">
            <v>28.11</v>
          </cell>
          <cell r="H64">
            <v>29.2</v>
          </cell>
          <cell r="I64"/>
          <cell r="J64"/>
        </row>
        <row r="65">
          <cell r="A65"/>
          <cell r="B65"/>
          <cell r="C65"/>
          <cell r="D65"/>
          <cell r="E65"/>
          <cell r="F65"/>
          <cell r="G65"/>
          <cell r="H65"/>
          <cell r="I65"/>
          <cell r="J65"/>
        </row>
        <row r="66">
          <cell r="A66" t="str">
            <v>2.9</v>
          </cell>
          <cell r="B66" t="str">
            <v>INHI</v>
          </cell>
          <cell r="C66">
            <v>91896</v>
          </cell>
          <cell r="D66" t="str">
            <v>CURVA 90 GRAUS PARA ELETRODUTO, PVC, ROSCÁVEL, DN 40 MM (1 1/4"), PARA CIRCUITOS TERMINAIS, INSTALADA EM FORRO - FORNECIMENTO E INSTALAÇÃO.</v>
          </cell>
          <cell r="E66" t="str">
            <v>UN</v>
          </cell>
          <cell r="F66" t="str">
            <v/>
          </cell>
          <cell r="G66">
            <v>13.15</v>
          </cell>
          <cell r="H66">
            <v>3.03</v>
          </cell>
          <cell r="I66">
            <v>10.02</v>
          </cell>
          <cell r="J66">
            <v>13.05</v>
          </cell>
        </row>
        <row r="67">
          <cell r="A67"/>
          <cell r="B67" t="str">
            <v>COMPOSICAO</v>
          </cell>
          <cell r="C67" t="str">
            <v>88248</v>
          </cell>
          <cell r="D67" t="str">
            <v>AUXILIAR DE ENCANADOR OU BOMBEIRO HIDRÁULICO COM ENCARGOS COMPLEMENTARES</v>
          </cell>
          <cell r="E67" t="str">
            <v>H</v>
          </cell>
          <cell r="F67">
            <v>0.26400000000000001</v>
          </cell>
          <cell r="G67">
            <v>16.21</v>
          </cell>
          <cell r="H67"/>
          <cell r="I67">
            <v>4.2699999999999996</v>
          </cell>
          <cell r="J67"/>
        </row>
        <row r="68">
          <cell r="A68"/>
          <cell r="B68" t="str">
            <v>COMPOSICAO</v>
          </cell>
          <cell r="C68" t="str">
            <v>88267</v>
          </cell>
          <cell r="D68" t="str">
            <v>ENCANADOR OU BOMBEIRO HIDRÁULICO COM ENCARGOS COMPLEMENTARES</v>
          </cell>
          <cell r="E68" t="str">
            <v>H</v>
          </cell>
          <cell r="F68">
            <v>0.26400000000000001</v>
          </cell>
          <cell r="G68">
            <v>21.81</v>
          </cell>
          <cell r="H68"/>
          <cell r="I68">
            <v>5.75</v>
          </cell>
          <cell r="J68"/>
        </row>
        <row r="69">
          <cell r="A69"/>
          <cell r="B69" t="str">
            <v>INSUMO</v>
          </cell>
          <cell r="C69">
            <v>1874</v>
          </cell>
          <cell r="D69" t="str">
            <v>CURVA 90 GRAUS, LONGA, DE PVC RIGIDO ROSCAVEL, DE 1 1/4", PARA ELETRODUTO</v>
          </cell>
          <cell r="E69" t="str">
            <v>UN</v>
          </cell>
          <cell r="F69">
            <v>1</v>
          </cell>
          <cell r="G69">
            <v>3.03</v>
          </cell>
          <cell r="H69">
            <v>3.03</v>
          </cell>
          <cell r="I69"/>
          <cell r="J69"/>
        </row>
        <row r="70">
          <cell r="A70"/>
          <cell r="B70"/>
          <cell r="C70"/>
          <cell r="D70" t="str">
            <v>COMPOSIÇÃO REFERÊNCIA: SINAPI - 93020</v>
          </cell>
          <cell r="E70"/>
          <cell r="F70"/>
          <cell r="G70"/>
          <cell r="H70"/>
          <cell r="I70"/>
          <cell r="J70"/>
        </row>
        <row r="71">
          <cell r="A71"/>
          <cell r="B71"/>
          <cell r="C71"/>
          <cell r="D71"/>
          <cell r="E71"/>
          <cell r="F71"/>
          <cell r="G71"/>
          <cell r="H71"/>
          <cell r="I71"/>
          <cell r="J71"/>
        </row>
        <row r="72">
          <cell r="A72" t="str">
            <v>2.10</v>
          </cell>
          <cell r="B72" t="str">
            <v>INHI</v>
          </cell>
          <cell r="C72">
            <v>91877</v>
          </cell>
          <cell r="D72" t="str">
            <v>LUVA PARA ELETRODUTO, PVC, ROSCÁVEL, DN 40 MM (1 1/4"), PARA CIRCUITOS TERMINAIS, INSTALADA EM FORRO - FORNECIMENTO E INSTALAÇÃO. AF_12/2015</v>
          </cell>
          <cell r="E72" t="str">
            <v>UN</v>
          </cell>
          <cell r="F72" t="str">
            <v/>
          </cell>
          <cell r="G72">
            <v>8.3800000000000008</v>
          </cell>
          <cell r="H72">
            <v>1.66</v>
          </cell>
          <cell r="I72">
            <v>6.56</v>
          </cell>
          <cell r="J72">
            <v>8.2200000000000006</v>
          </cell>
        </row>
        <row r="73">
          <cell r="A73"/>
          <cell r="B73" t="str">
            <v>COMPOSICAO</v>
          </cell>
          <cell r="C73" t="str">
            <v>88248</v>
          </cell>
          <cell r="D73" t="str">
            <v>AUXILIAR DE ELETRICISTA COM ENCARGOS COMPLEMENTARES</v>
          </cell>
          <cell r="E73" t="str">
            <v>H</v>
          </cell>
          <cell r="F73">
            <v>0.17599999999999999</v>
          </cell>
          <cell r="G73">
            <v>16.3</v>
          </cell>
          <cell r="H73"/>
          <cell r="I73">
            <v>2.86</v>
          </cell>
          <cell r="J73"/>
        </row>
        <row r="74">
          <cell r="A74"/>
          <cell r="B74" t="str">
            <v>COMPOSICAO</v>
          </cell>
          <cell r="C74">
            <v>88264</v>
          </cell>
          <cell r="D74" t="str">
            <v>ELETRICISTA COM ENCARGOS COMPLEMENTARES</v>
          </cell>
          <cell r="E74" t="str">
            <v>H</v>
          </cell>
          <cell r="F74">
            <v>0.17599999999999999</v>
          </cell>
          <cell r="G74">
            <v>21.05</v>
          </cell>
          <cell r="H74"/>
          <cell r="I74">
            <v>3.7</v>
          </cell>
          <cell r="J74"/>
        </row>
        <row r="75">
          <cell r="A75"/>
          <cell r="B75" t="str">
            <v>INSUMO</v>
          </cell>
          <cell r="C75">
            <v>1902</v>
          </cell>
          <cell r="D75" t="str">
            <v>LUVA PARA ELETRODUTO, PVC, ROSCÁVEL, DN 40 MM (1 1/4"), PARA CIRCUITOS TERMINAIS, INSTALADA EM LAJE - FORNECIMENTO E INSTALAÇÃO. AF_12/2015.</v>
          </cell>
          <cell r="E75" t="str">
            <v>UN</v>
          </cell>
          <cell r="F75">
            <v>1</v>
          </cell>
          <cell r="G75">
            <v>1.66</v>
          </cell>
          <cell r="H75">
            <v>1.66</v>
          </cell>
          <cell r="I75"/>
          <cell r="J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  <cell r="J76"/>
        </row>
        <row r="77">
          <cell r="A77">
            <v>3</v>
          </cell>
          <cell r="B77"/>
          <cell r="C77"/>
          <cell r="D77" t="str">
            <v>ILUMINAÇÃO PÚBLICA ORNAMENTAL</v>
          </cell>
          <cell r="E77"/>
          <cell r="F77"/>
          <cell r="G77"/>
          <cell r="H77"/>
          <cell r="I77"/>
          <cell r="J77"/>
        </row>
        <row r="78">
          <cell r="A78" t="str">
            <v>3.1</v>
          </cell>
          <cell r="B78" t="str">
            <v>NÃO AFERIDA</v>
          </cell>
          <cell r="C78" t="str">
            <v>COMPOSIÇAO 04</v>
          </cell>
          <cell r="D78" t="str">
            <v>POSTE DE ACO CONICO CONTINUO RETO, ENGASTADO, H=9M,  COMPOSTO DE UM BRAÇO ORNAMENTAl TIPO ASA DE BORBOLETA MODELO PHOENIX I, FABRICADO EM TUBO DE AÇO GALVANIZADO, PROJ=2400,00MM PARA INSTALAÇÃO DE LUMINÁRIAS ENCAIXE D=48,00 MM DE CONFORMIDADE COM O PROJETO ANEXO - FORNECIMENTO E INSTALACAO</v>
          </cell>
          <cell r="E78" t="str">
            <v>UN</v>
          </cell>
          <cell r="F78" t="str">
            <v/>
          </cell>
          <cell r="G78"/>
          <cell r="H78">
            <v>1575.1306999999997</v>
          </cell>
          <cell r="I78">
            <v>339.09050000000002</v>
          </cell>
          <cell r="J78">
            <v>1914.22</v>
          </cell>
        </row>
        <row r="79">
          <cell r="A79"/>
          <cell r="B79" t="str">
            <v>INSUMO</v>
          </cell>
          <cell r="C79">
            <v>14165</v>
          </cell>
          <cell r="D79" t="str">
            <v>POSTE CONICO CONTINUO EM ACO GALVANIZADO, RETO, ENGASTADO, H = 9 M, DIAMETRO INFERIOR = *145* MM</v>
          </cell>
          <cell r="E79" t="str">
            <v>UN</v>
          </cell>
          <cell r="F79">
            <v>1</v>
          </cell>
          <cell r="G79">
            <v>1053.6099999999999</v>
          </cell>
          <cell r="H79">
            <v>1053.6099999999999</v>
          </cell>
          <cell r="I79"/>
          <cell r="J79"/>
        </row>
        <row r="80">
          <cell r="A80"/>
          <cell r="B80" t="str">
            <v>COMPOSICAO</v>
          </cell>
          <cell r="C80">
            <v>91634</v>
          </cell>
          <cell r="D80" t="str">
            <v>GUINDAUTO HIDRÁULICO, CAPACIDADE MÁXIMA DE CARGA 6500 KG, MOMENTO MÁXIMO DE CARGA 5,8 TM, ALCANCE MÁXIMO HORIZONTAL 7,60 M, INCLUSIVE CAMINHÃO TOCO PBT 9.700 KG, POTÊNCIA DE 160 CV - CHP DIURNO. AF_08/2015</v>
          </cell>
          <cell r="E80" t="str">
            <v>CHP</v>
          </cell>
          <cell r="F80">
            <v>1.375</v>
          </cell>
          <cell r="G80">
            <v>128.52000000000001</v>
          </cell>
          <cell r="H80"/>
          <cell r="I80">
            <v>176.715</v>
          </cell>
          <cell r="J80"/>
        </row>
        <row r="81">
          <cell r="A81"/>
          <cell r="B81" t="str">
            <v>COTAÇÃO</v>
          </cell>
          <cell r="C81" t="str">
            <v>1.31</v>
          </cell>
          <cell r="D81" t="str">
            <v>BRAÇO ORNAMENTAL TIPO ASA DE BORBOLETA DIÂMETRO PROJ=2400MM E ENCAIXE DA LUMINÁRIA = 48,00MM (MODELO PHOENIX I)</v>
          </cell>
          <cell r="E81" t="str">
            <v>UN</v>
          </cell>
          <cell r="F81">
            <v>2</v>
          </cell>
          <cell r="G81">
            <v>247.43</v>
          </cell>
          <cell r="H81">
            <v>494.86</v>
          </cell>
          <cell r="I81"/>
          <cell r="J81"/>
        </row>
        <row r="82">
          <cell r="A82"/>
          <cell r="B82" t="str">
            <v>COMPOSICAO</v>
          </cell>
          <cell r="C82">
            <v>92873</v>
          </cell>
          <cell r="D82" t="str">
            <v>LANÇAMENTO COM USO DE BALDES, ADENSAMENTO E ACABAMENTO DE CONCRETO EM ESTRUTURAS. AF_12/2015</v>
          </cell>
          <cell r="E82" t="str">
            <v>M3</v>
          </cell>
          <cell r="F82">
            <v>0.09</v>
          </cell>
          <cell r="G82">
            <v>166.95</v>
          </cell>
          <cell r="H82"/>
          <cell r="I82">
            <v>15.025499999999999</v>
          </cell>
          <cell r="J82"/>
        </row>
        <row r="83">
          <cell r="A83"/>
          <cell r="B83" t="str">
            <v>COMPOSICAO</v>
          </cell>
          <cell r="C83">
            <v>94969</v>
          </cell>
          <cell r="D83" t="str">
            <v>CONCRETO FCK = 15MPA, TRAÇO 1:3,4:3,5 (CIMENTO/ AREIA MÉDIA/ BRITA 1)  - PREPARO MECÂNICO COM BETONEIRA 600 L. AF_07/2016</v>
          </cell>
          <cell r="E83" t="str">
            <v>M3</v>
          </cell>
          <cell r="F83">
            <v>0.09</v>
          </cell>
          <cell r="G83">
            <v>296.23</v>
          </cell>
          <cell r="H83">
            <v>26.660700000000002</v>
          </cell>
          <cell r="I83"/>
          <cell r="J83"/>
        </row>
        <row r="84">
          <cell r="A84"/>
          <cell r="B84" t="str">
            <v>COMPOSICAO</v>
          </cell>
          <cell r="C84" t="str">
            <v>88264</v>
          </cell>
          <cell r="D84" t="str">
            <v>ELETRICISTA COM ENCARGOS COMPLEMENTARES</v>
          </cell>
          <cell r="E84" t="str">
            <v>H</v>
          </cell>
          <cell r="F84">
            <v>7</v>
          </cell>
          <cell r="G84">
            <v>21.05</v>
          </cell>
          <cell r="H84"/>
          <cell r="I84">
            <v>147.35</v>
          </cell>
          <cell r="J84"/>
        </row>
        <row r="85">
          <cell r="A85"/>
          <cell r="B85"/>
          <cell r="C85"/>
          <cell r="D85" t="str">
            <v>COMPOSIÇÃO REFERENCIA: 73769/004</v>
          </cell>
          <cell r="E85"/>
          <cell r="F85"/>
          <cell r="G85"/>
          <cell r="H85"/>
          <cell r="I85"/>
          <cell r="J85"/>
        </row>
        <row r="86">
          <cell r="A86"/>
          <cell r="B86"/>
          <cell r="C86"/>
          <cell r="D86"/>
          <cell r="E86"/>
          <cell r="F86"/>
          <cell r="G86"/>
          <cell r="H86"/>
          <cell r="I86"/>
          <cell r="J86"/>
        </row>
        <row r="87">
          <cell r="A87" t="str">
            <v>3.2</v>
          </cell>
          <cell r="B87" t="str">
            <v>NÃO AFERIDA</v>
          </cell>
          <cell r="C87" t="str">
            <v>COMPOSIÇAO 05</v>
          </cell>
          <cell r="D87" t="str">
            <v>LUMINÁRIA EM LED PARA ILUMINAÇÃO PÚBLICA, 100W, LED AC, LENTES DE MATERIAL PMMA, CORPO EM ALUMÍNIO INJ, 220V +/-10%, FP0,95, IP66, IK08, TEMP. COR 5000K, IRC &gt; 70%, V. ÚTIL 70.000H, FLUXO LUMINOSO 11.407,4 LM, TOMADA PARA RELÉ FOTOELÉTRICO,  MODELO LPL ARES VI MIDI (ILUMATIC) OU SIMILAR - FORNECIMENTO E INSTALAÇÃO.</v>
          </cell>
          <cell r="E87" t="str">
            <v>UN</v>
          </cell>
          <cell r="F87" t="str">
            <v/>
          </cell>
          <cell r="G87"/>
          <cell r="H87">
            <v>1069.57</v>
          </cell>
          <cell r="I87">
            <v>37.35</v>
          </cell>
          <cell r="J87">
            <v>1106.92</v>
          </cell>
        </row>
        <row r="88">
          <cell r="A88"/>
          <cell r="B88" t="str">
            <v>COTAÇÃO</v>
          </cell>
          <cell r="C88" t="str">
            <v>1.16</v>
          </cell>
          <cell r="D88" t="str">
            <v>LUMINÁRIA EM LED PARA ILUMINAÇÃO PÚBLICA, 100W, BIVOLT, SELO A INMETRO, CORPO EM ALUMÍNIO INJ, FP 0,95, PROT. DPS 10kV, IP66, IK09, TEMP. COR 5000K, IRC= OU 70%, V. ÚTIL 50.000H, 130LM/W. GAR. 5 ANOS, MODELO GL216 G-LIGTHT OU SIMILAR.</v>
          </cell>
          <cell r="E88" t="str">
            <v>UN</v>
          </cell>
          <cell r="F88">
            <v>1</v>
          </cell>
          <cell r="G88">
            <v>1069.57</v>
          </cell>
          <cell r="H88">
            <v>1069.57</v>
          </cell>
          <cell r="I88"/>
          <cell r="J88"/>
        </row>
        <row r="89">
          <cell r="A89"/>
          <cell r="B89" t="str">
            <v>COMPOSICAO</v>
          </cell>
          <cell r="C89" t="str">
            <v>88264</v>
          </cell>
          <cell r="D89" t="str">
            <v>ELETRICISTA COM ENCARGOS COMPLEMENTARES</v>
          </cell>
          <cell r="E89" t="str">
            <v>H</v>
          </cell>
          <cell r="F89">
            <v>1</v>
          </cell>
          <cell r="G89">
            <v>21.05</v>
          </cell>
          <cell r="H89"/>
          <cell r="I89">
            <v>21.05</v>
          </cell>
          <cell r="J89"/>
        </row>
        <row r="90">
          <cell r="A90"/>
          <cell r="B90" t="str">
            <v>COMPOSICAO</v>
          </cell>
          <cell r="C90" t="str">
            <v>88316</v>
          </cell>
          <cell r="D90" t="str">
            <v>SERVENTE COM ENCARGOS COMPLEMENTARES</v>
          </cell>
          <cell r="E90" t="str">
            <v>H</v>
          </cell>
          <cell r="F90">
            <v>1</v>
          </cell>
          <cell r="G90">
            <v>16.3</v>
          </cell>
          <cell r="H90"/>
          <cell r="I90">
            <v>16.3</v>
          </cell>
          <cell r="J90"/>
        </row>
        <row r="91">
          <cell r="A91"/>
          <cell r="B91"/>
          <cell r="C91"/>
          <cell r="D91" t="str">
            <v>COMPOSIÇÃO REFERENCIA: 74231/001</v>
          </cell>
          <cell r="E91"/>
          <cell r="F91"/>
          <cell r="G91"/>
          <cell r="H91"/>
          <cell r="I91"/>
          <cell r="J91"/>
        </row>
        <row r="92">
          <cell r="A92"/>
          <cell r="B92"/>
          <cell r="C92"/>
          <cell r="D92"/>
          <cell r="E92"/>
          <cell r="F92"/>
          <cell r="G92"/>
          <cell r="H92"/>
          <cell r="I92"/>
          <cell r="J92"/>
        </row>
        <row r="93">
          <cell r="A93" t="str">
            <v>3.3</v>
          </cell>
          <cell r="B93" t="str">
            <v>02.INEL.ELE1.050/01</v>
          </cell>
          <cell r="C93" t="str">
            <v>91926</v>
          </cell>
          <cell r="D93" t="str">
            <v>CABO DE COBRE FLEXÍVEL ISOLADO, 2,5 MM², ANTI-CHAMA 450/750 V, PARA CIRCUITOS TERMINAIS - FORNECIMENTO E INSTALAÇÃO. AF_12/2015</v>
          </cell>
          <cell r="E93" t="str">
            <v>M</v>
          </cell>
          <cell r="F93" t="str">
            <v/>
          </cell>
          <cell r="G93">
            <v>2.68</v>
          </cell>
          <cell r="H93">
            <v>1.4</v>
          </cell>
          <cell r="I93">
            <v>1.1100000000000001</v>
          </cell>
          <cell r="J93">
            <v>2.5099999999999998</v>
          </cell>
        </row>
        <row r="94">
          <cell r="A94"/>
          <cell r="B94" t="str">
            <v>INSUMO</v>
          </cell>
          <cell r="C94" t="str">
            <v>1014</v>
          </cell>
          <cell r="D94" t="str">
            <v>CABO DE COBRE, FLEXIVEL, CLASSE 4 OU 5, ISOLACAO EM PVC/A, ANTICHAMA BWF-B, 1 CONDUTOR, 450/750 V, SECAO NOMINAL 2,5 MM2</v>
          </cell>
          <cell r="E94" t="str">
            <v>M</v>
          </cell>
          <cell r="F94">
            <v>1</v>
          </cell>
          <cell r="G94">
            <v>1.32</v>
          </cell>
          <cell r="H94">
            <v>1.32</v>
          </cell>
          <cell r="I94"/>
          <cell r="J94"/>
        </row>
        <row r="95">
          <cell r="A95"/>
          <cell r="B95" t="str">
            <v>INSUMO</v>
          </cell>
          <cell r="C95">
            <v>21111</v>
          </cell>
          <cell r="D95" t="str">
            <v>FITA ISOLANTE ADESIVA ANTICHAMA, USO ATE 750 V, EM ROLO DE 19 MM X 5 M</v>
          </cell>
          <cell r="E95" t="str">
            <v>UN</v>
          </cell>
          <cell r="F95">
            <v>8.9999999999999993E-3</v>
          </cell>
          <cell r="G95">
            <v>9.5</v>
          </cell>
          <cell r="H95">
            <v>0.08</v>
          </cell>
          <cell r="I95"/>
          <cell r="J95"/>
        </row>
        <row r="96">
          <cell r="A96"/>
          <cell r="B96" t="str">
            <v>COMPOSICAO</v>
          </cell>
          <cell r="C96" t="str">
            <v>88247</v>
          </cell>
          <cell r="D96" t="str">
            <v>AUXILIAR DE ELETRICISTA COM ENCARGOS COMPLEMENTARES</v>
          </cell>
          <cell r="E96" t="str">
            <v>H</v>
          </cell>
          <cell r="F96">
            <v>0.03</v>
          </cell>
          <cell r="G96">
            <v>16.3</v>
          </cell>
          <cell r="H96"/>
          <cell r="I96">
            <v>0.48</v>
          </cell>
          <cell r="J96"/>
        </row>
        <row r="97">
          <cell r="A97"/>
          <cell r="B97" t="str">
            <v>COMPOSICAO</v>
          </cell>
          <cell r="C97" t="str">
            <v>88264</v>
          </cell>
          <cell r="D97" t="str">
            <v>ELETRICISTA COM ENCARGOS COMPLEMENTARES</v>
          </cell>
          <cell r="E97" t="str">
            <v>H</v>
          </cell>
          <cell r="F97">
            <v>0.03</v>
          </cell>
          <cell r="G97">
            <v>21.05</v>
          </cell>
          <cell r="H97"/>
          <cell r="I97">
            <v>0.63</v>
          </cell>
          <cell r="J97"/>
        </row>
        <row r="98">
          <cell r="A98"/>
          <cell r="B98"/>
          <cell r="C98"/>
          <cell r="D98"/>
          <cell r="E98"/>
          <cell r="F98"/>
          <cell r="G98"/>
          <cell r="H98"/>
          <cell r="I98"/>
          <cell r="J98"/>
        </row>
        <row r="99">
          <cell r="A99" t="str">
            <v>3.4</v>
          </cell>
          <cell r="B99" t="str">
            <v>02.INEL.ELE1.051/02</v>
          </cell>
          <cell r="C99" t="str">
            <v>91929</v>
          </cell>
          <cell r="D99" t="str">
            <v>CABO DE COBRE FLEXÍVEL ISOLADO, 4 MM², ANTI-CHAMA 0,6/1,0 KV, PARA CIRCUITOS TERMINAIS - FORNECIMENTO E INSTALAÇÃO. AF_12/2015</v>
          </cell>
          <cell r="E99" t="str">
            <v>M</v>
          </cell>
          <cell r="F99" t="str">
            <v/>
          </cell>
          <cell r="G99">
            <v>4.82</v>
          </cell>
          <cell r="H99">
            <v>2.9</v>
          </cell>
          <cell r="I99">
            <v>1.49</v>
          </cell>
          <cell r="J99">
            <v>4.3899999999999997</v>
          </cell>
        </row>
        <row r="100">
          <cell r="A100"/>
          <cell r="B100" t="str">
            <v>INSUMO</v>
          </cell>
          <cell r="C100" t="str">
            <v>1021</v>
          </cell>
          <cell r="D100" t="str">
            <v>CABO DE COBRE, FLEXIVEL, CLASSE 4 OU 5, ISOLACAO EM PVC/A, ANTICHAMA BWF-B, COBERTURA PVC-ST1, ANTICHAMA BWF-B, 1 CONDUTOR, 0,6/1 KV, SECAO NOMINAL 4 MM2</v>
          </cell>
          <cell r="E100" t="str">
            <v>M</v>
          </cell>
          <cell r="F100">
            <v>1</v>
          </cell>
          <cell r="G100">
            <v>2.82</v>
          </cell>
          <cell r="H100">
            <v>2.82</v>
          </cell>
          <cell r="I100"/>
          <cell r="J100"/>
        </row>
        <row r="101">
          <cell r="A101"/>
          <cell r="B101" t="str">
            <v>INSUMO</v>
          </cell>
          <cell r="C101">
            <v>21127</v>
          </cell>
          <cell r="D101" t="str">
            <v>FITA ISOLANTE ADESIVA ANTICHAMA, USO ATE 750 V, EM ROLO DE 19 MM X 5 M</v>
          </cell>
          <cell r="E101" t="str">
            <v>UN</v>
          </cell>
          <cell r="F101">
            <v>8.9999999999999993E-3</v>
          </cell>
          <cell r="G101">
            <v>9.5</v>
          </cell>
          <cell r="H101">
            <v>0.08</v>
          </cell>
          <cell r="I101"/>
          <cell r="J101"/>
        </row>
        <row r="102">
          <cell r="A102"/>
          <cell r="B102" t="str">
            <v>COMPOSICAO</v>
          </cell>
          <cell r="C102" t="str">
            <v>88247</v>
          </cell>
          <cell r="D102" t="str">
            <v>AUXILIAR DE ELETRICISTA COM ENCARGOS COMPLEMENTARES</v>
          </cell>
          <cell r="E102" t="str">
            <v>H</v>
          </cell>
          <cell r="F102">
            <v>0.04</v>
          </cell>
          <cell r="G102">
            <v>16.3</v>
          </cell>
          <cell r="H102"/>
          <cell r="I102">
            <v>0.65</v>
          </cell>
          <cell r="J102"/>
        </row>
        <row r="103">
          <cell r="A103"/>
          <cell r="B103" t="str">
            <v>COMPOSICAO</v>
          </cell>
          <cell r="C103" t="str">
            <v>88264</v>
          </cell>
          <cell r="D103" t="str">
            <v>ELETRICISTA COM ENCARGOS COMPLEMENTARES</v>
          </cell>
          <cell r="E103" t="str">
            <v>H</v>
          </cell>
          <cell r="F103">
            <v>0.04</v>
          </cell>
          <cell r="G103">
            <v>21.05</v>
          </cell>
          <cell r="H103"/>
          <cell r="I103">
            <v>0.84</v>
          </cell>
          <cell r="J103"/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  <cell r="J104"/>
        </row>
        <row r="105">
          <cell r="A105" t="str">
            <v>3.5</v>
          </cell>
          <cell r="B105" t="str">
            <v>02.INEL.ELE1.052/02</v>
          </cell>
          <cell r="C105" t="str">
            <v>91931</v>
          </cell>
          <cell r="D105" t="str">
            <v>CABO DE COBRE FLEXÍVEL ISOLADO, 6 MM², ANTI-CHAMA 0,6/1,0 KV, PARA CIRCUITOS TERMINAIS - FORNECIMENTO E INSTALAÇÃO. AF_12/2015</v>
          </cell>
          <cell r="E105" t="str">
            <v>M</v>
          </cell>
          <cell r="F105" t="str">
            <v/>
          </cell>
          <cell r="G105">
            <v>6.48</v>
          </cell>
          <cell r="H105">
            <v>4.66</v>
          </cell>
          <cell r="I105">
            <v>1.93</v>
          </cell>
          <cell r="J105">
            <v>6.59</v>
          </cell>
        </row>
        <row r="106">
          <cell r="A106"/>
          <cell r="B106" t="str">
            <v>INSUMO</v>
          </cell>
          <cell r="C106" t="str">
            <v>994</v>
          </cell>
          <cell r="D106" t="str">
            <v>CABO DE COBRE, FLEXIVEL, CLASSE 4 OU 5, ISOLACAO EM PVC/A, ANTICHAMA BWF-B, COBERTURA PVC-ST1, ANTICHAMA BWF-B, 1 CONDUTOR, 0,6/1 KV, SECAO NOMINAL 6 MM2</v>
          </cell>
          <cell r="E106" t="str">
            <v>M</v>
          </cell>
          <cell r="F106">
            <v>1.19</v>
          </cell>
          <cell r="G106">
            <v>3.85</v>
          </cell>
          <cell r="H106">
            <v>4.58</v>
          </cell>
          <cell r="I106"/>
          <cell r="J106"/>
        </row>
        <row r="107">
          <cell r="A107"/>
          <cell r="B107" t="str">
            <v>INSUMO</v>
          </cell>
          <cell r="C107" t="str">
            <v>21127</v>
          </cell>
          <cell r="D107" t="str">
            <v>FITA ISOLANTE ADESIVA ANTICHAMA, USO ATE 750 V, EM ROLO DE 19 MM X 5 M</v>
          </cell>
          <cell r="E107" t="str">
            <v>UN</v>
          </cell>
          <cell r="F107">
            <v>8.9999999999999993E-3</v>
          </cell>
          <cell r="G107">
            <v>9.5</v>
          </cell>
          <cell r="H107">
            <v>0.08</v>
          </cell>
          <cell r="I107"/>
          <cell r="J107"/>
        </row>
        <row r="108">
          <cell r="A108"/>
          <cell r="B108" t="str">
            <v>COMPOSICAO</v>
          </cell>
          <cell r="C108" t="str">
            <v>88247</v>
          </cell>
          <cell r="D108" t="str">
            <v>AUXILIAR DE ELETRICISTA COM ENCARGOS COMPLEMENTARES</v>
          </cell>
          <cell r="E108" t="str">
            <v>H</v>
          </cell>
          <cell r="F108">
            <v>5.1999999999999998E-2</v>
          </cell>
          <cell r="G108">
            <v>16.3</v>
          </cell>
          <cell r="H108"/>
          <cell r="I108">
            <v>0.84</v>
          </cell>
          <cell r="J108"/>
        </row>
        <row r="109">
          <cell r="A109"/>
          <cell r="B109" t="str">
            <v>COMPOSICAO</v>
          </cell>
          <cell r="C109" t="str">
            <v>88264</v>
          </cell>
          <cell r="D109" t="str">
            <v>ELETRICISTA COM ENCARGOS COMPLEMENTARES</v>
          </cell>
          <cell r="E109" t="str">
            <v>H</v>
          </cell>
          <cell r="F109">
            <v>5.1999999999999998E-2</v>
          </cell>
          <cell r="G109">
            <v>21.05</v>
          </cell>
          <cell r="H109"/>
          <cell r="I109">
            <v>1.0900000000000001</v>
          </cell>
          <cell r="J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  <cell r="J110"/>
        </row>
        <row r="111">
          <cell r="A111" t="str">
            <v>3.6</v>
          </cell>
          <cell r="B111" t="str">
            <v>NÃO AFERIDA</v>
          </cell>
          <cell r="C111" t="str">
            <v>COMPOSIÇAO 06</v>
          </cell>
          <cell r="D111" t="str">
            <v>QUADRO DE COMANDO EM GRUPO DE ILUMINAÇÃO PÚBLICA - FORNECIMENTO E MONTAGEM</v>
          </cell>
          <cell r="E111" t="str">
            <v>UN</v>
          </cell>
          <cell r="F111" t="str">
            <v/>
          </cell>
          <cell r="G111"/>
          <cell r="H111">
            <v>774.63000000000011</v>
          </cell>
          <cell r="I111">
            <v>1.94428</v>
          </cell>
          <cell r="J111">
            <v>776.57</v>
          </cell>
        </row>
        <row r="112">
          <cell r="A112"/>
          <cell r="B112" t="str">
            <v>INSUMO/REF</v>
          </cell>
          <cell r="C112">
            <v>11255</v>
          </cell>
          <cell r="D112" t="str">
            <v>CAIXA PARA QUADRO DE COMANDOS COM PLACA DE MONTAGEM DE EQUIPAMENTOS COM PINTURA ELETROSTÁTICA BEGE NAS DIMENSÕES 500X400X200MM</v>
          </cell>
          <cell r="E112" t="str">
            <v>UN</v>
          </cell>
          <cell r="F112">
            <v>1</v>
          </cell>
          <cell r="G112">
            <v>277.67</v>
          </cell>
          <cell r="H112">
            <v>277.67</v>
          </cell>
          <cell r="I112"/>
          <cell r="J112"/>
        </row>
        <row r="113">
          <cell r="A113"/>
          <cell r="B113" t="str">
            <v>INSUMO</v>
          </cell>
          <cell r="C113">
            <v>1623</v>
          </cell>
          <cell r="D113" t="str">
            <v>CONTATOR TRIPOLAR, CORRENTE DE 12 A, TENSAO NOMINAL DE *500* V, CATEGORIA AC-2 E AC-3</v>
          </cell>
          <cell r="E113" t="str">
            <v>UN</v>
          </cell>
          <cell r="F113">
            <v>1</v>
          </cell>
          <cell r="G113">
            <v>85.63</v>
          </cell>
          <cell r="H113">
            <v>85.63</v>
          </cell>
          <cell r="I113"/>
          <cell r="J113"/>
        </row>
        <row r="114">
          <cell r="A114"/>
          <cell r="B114" t="str">
            <v>INSUMO</v>
          </cell>
          <cell r="C114">
            <v>34616</v>
          </cell>
          <cell r="D114" t="str">
            <v>DISJUNTOR TIPO DIN/IEC, BIPOLAR DE 2 A</v>
          </cell>
          <cell r="E114" t="str">
            <v>UN</v>
          </cell>
          <cell r="F114">
            <v>1</v>
          </cell>
          <cell r="G114">
            <v>41.87</v>
          </cell>
          <cell r="H114">
            <v>41.87</v>
          </cell>
          <cell r="I114"/>
          <cell r="J114"/>
        </row>
        <row r="115">
          <cell r="A115"/>
          <cell r="B115" t="str">
            <v>INSUMO</v>
          </cell>
          <cell r="C115">
            <v>34623</v>
          </cell>
          <cell r="D115" t="str">
            <v>DISJUNTOR TIPO DIN/IEC, BIPOLAR 40 A</v>
          </cell>
          <cell r="E115" t="str">
            <v>UN</v>
          </cell>
          <cell r="F115">
            <v>1</v>
          </cell>
          <cell r="G115">
            <v>41.22</v>
          </cell>
          <cell r="H115">
            <v>41.22</v>
          </cell>
          <cell r="I115"/>
          <cell r="J115"/>
        </row>
        <row r="116">
          <cell r="A116"/>
          <cell r="B116" t="str">
            <v>INSUMO</v>
          </cell>
          <cell r="C116">
            <v>2510</v>
          </cell>
          <cell r="D116" t="str">
            <v>RELE FOTOELETRICO INTERNO E EXTERNO BIVOLT 1000 W, DE CONECTOR, SEM BASE</v>
          </cell>
          <cell r="E116" t="str">
            <v>UN</v>
          </cell>
          <cell r="F116">
            <v>1</v>
          </cell>
          <cell r="G116">
            <v>15.52</v>
          </cell>
          <cell r="H116">
            <v>15.52</v>
          </cell>
          <cell r="I116"/>
          <cell r="J116"/>
        </row>
        <row r="117">
          <cell r="A117"/>
          <cell r="B117" t="str">
            <v>INSUMO</v>
          </cell>
          <cell r="C117">
            <v>39380</v>
          </cell>
          <cell r="D117" t="str">
            <v>BASE PARA RELE COM SUPORTE METALICO</v>
          </cell>
          <cell r="E117" t="str">
            <v>UN</v>
          </cell>
          <cell r="F117">
            <v>1</v>
          </cell>
          <cell r="G117">
            <v>8.8800000000000008</v>
          </cell>
          <cell r="H117">
            <v>8.8800000000000008</v>
          </cell>
          <cell r="I117"/>
          <cell r="J117"/>
        </row>
        <row r="118">
          <cell r="A118"/>
          <cell r="B118" t="str">
            <v>INSUMO</v>
          </cell>
          <cell r="C118">
            <v>13374</v>
          </cell>
          <cell r="D118" t="str">
            <v>BASE UNIPOLAR PARA FUSIVEL NH1, CORRENTE NOMINAL DE 250 A, SEM CAPA</v>
          </cell>
          <cell r="E118" t="str">
            <v>UN</v>
          </cell>
          <cell r="F118">
            <v>3</v>
          </cell>
          <cell r="G118">
            <v>85.06</v>
          </cell>
          <cell r="H118">
            <v>255.18</v>
          </cell>
          <cell r="I118"/>
          <cell r="J118"/>
        </row>
        <row r="119">
          <cell r="A119"/>
          <cell r="B119" t="str">
            <v>INSUMO</v>
          </cell>
          <cell r="C119">
            <v>3295</v>
          </cell>
          <cell r="D119" t="str">
            <v>FUSIVEL NH 10 AMPERES, TAMANHO 00, CAPACIDADE DE INTERRUPCAO DE 120 KA, TENSAO NOMIMNAL DE 500 V</v>
          </cell>
          <cell r="E119" t="str">
            <v>UN</v>
          </cell>
          <cell r="F119">
            <v>3</v>
          </cell>
          <cell r="G119">
            <v>8.94</v>
          </cell>
          <cell r="H119">
            <v>26.82</v>
          </cell>
          <cell r="I119"/>
          <cell r="J119"/>
        </row>
        <row r="120">
          <cell r="A120"/>
          <cell r="B120" t="str">
            <v>INSUMO</v>
          </cell>
          <cell r="C120">
            <v>1814</v>
          </cell>
          <cell r="D120" t="str">
            <v>CURVA DE FERRO GALVANIZADO DE 90º X 1 1/4"</v>
          </cell>
          <cell r="E120" t="str">
            <v>UN</v>
          </cell>
          <cell r="F120">
            <v>1</v>
          </cell>
          <cell r="G120">
            <v>18.36</v>
          </cell>
          <cell r="H120">
            <v>18.36</v>
          </cell>
          <cell r="I120"/>
          <cell r="J120"/>
        </row>
        <row r="121">
          <cell r="A121"/>
          <cell r="B121" t="str">
            <v>INSUMO</v>
          </cell>
          <cell r="C121">
            <v>1574</v>
          </cell>
          <cell r="D121" t="str">
            <v>TERMINAL A COMPRESSAO EM COBRE ESTANHADO PARA CABO 10 MM2, 1 FURO E 1 COMPRESSAO, PARA PARAFUSO DE FIXACAO M6</v>
          </cell>
          <cell r="E121" t="str">
            <v>UN</v>
          </cell>
          <cell r="F121">
            <v>4</v>
          </cell>
          <cell r="G121">
            <v>0.87</v>
          </cell>
          <cell r="H121">
            <v>3.48</v>
          </cell>
          <cell r="I121"/>
          <cell r="J121"/>
        </row>
        <row r="122">
          <cell r="A122"/>
          <cell r="B122" t="str">
            <v>COMPOSICAO</v>
          </cell>
          <cell r="C122" t="str">
            <v>88247</v>
          </cell>
          <cell r="D122" t="str">
            <v>AUXILIAR DE ELETRICISTA COM ENCARGOS COMPLEMENTARES</v>
          </cell>
          <cell r="E122" t="str">
            <v>H</v>
          </cell>
          <cell r="F122">
            <v>5.1999999999999998E-2</v>
          </cell>
          <cell r="G122">
            <v>16.32</v>
          </cell>
          <cell r="H122"/>
          <cell r="I122">
            <v>0.84863999999999995</v>
          </cell>
          <cell r="J122"/>
        </row>
        <row r="123">
          <cell r="A123"/>
          <cell r="B123" t="str">
            <v>COMPOSICAO</v>
          </cell>
          <cell r="C123" t="str">
            <v>88264</v>
          </cell>
          <cell r="D123" t="str">
            <v>ELETRICISTA COM ENCARGOS COMPLEMENTARES</v>
          </cell>
          <cell r="E123" t="str">
            <v>H</v>
          </cell>
          <cell r="F123">
            <v>5.1999999999999998E-2</v>
          </cell>
          <cell r="G123">
            <v>21.07</v>
          </cell>
          <cell r="H123"/>
          <cell r="I123">
            <v>1.0956399999999999</v>
          </cell>
          <cell r="J123"/>
        </row>
        <row r="124">
          <cell r="A124"/>
          <cell r="B124"/>
          <cell r="C124"/>
          <cell r="D124" t="str">
            <v>COMPOSIÇÃO REFERENCIA: PRÓPRIA</v>
          </cell>
          <cell r="E124"/>
          <cell r="F124"/>
          <cell r="G124"/>
          <cell r="H124"/>
          <cell r="I124"/>
          <cell r="J124"/>
        </row>
        <row r="125">
          <cell r="A125" t="str">
            <v>3.7</v>
          </cell>
          <cell r="B125" t="str">
            <v>INEL</v>
          </cell>
          <cell r="C125" t="str">
            <v>96985</v>
          </cell>
          <cell r="D125" t="str">
            <v>HASTE DE ATERRAMENTO 5/8  PARA SPDA - FORNECIMENTO E INSTALAÇÃO. AF_12/2017</v>
          </cell>
          <cell r="E125" t="str">
            <v>UN</v>
          </cell>
          <cell r="F125" t="str">
            <v/>
          </cell>
          <cell r="G125">
            <v>41.5</v>
          </cell>
          <cell r="H125">
            <v>5.32</v>
          </cell>
          <cell r="I125">
            <v>36.200000000000003</v>
          </cell>
          <cell r="J125">
            <v>41.52</v>
          </cell>
        </row>
        <row r="126">
          <cell r="A126"/>
          <cell r="B126" t="str">
            <v>INSUMO</v>
          </cell>
          <cell r="C126" t="str">
            <v>3379</v>
          </cell>
          <cell r="D126" t="str">
            <v xml:space="preserve"> HASTE DE ATERRAMENTO EM ACO COM 3,00 M DE COMPRIMENTO E DN = 5/8", REVESTIDA COM BAIXA CAMADA DE COBRE, SEM CONECTOR</v>
          </cell>
          <cell r="E126" t="str">
            <v>UN</v>
          </cell>
          <cell r="F126">
            <v>1</v>
          </cell>
          <cell r="G126">
            <v>32.08</v>
          </cell>
          <cell r="H126">
            <v>0</v>
          </cell>
          <cell r="I126">
            <v>32.08</v>
          </cell>
          <cell r="J126"/>
        </row>
        <row r="127">
          <cell r="A127"/>
          <cell r="B127" t="str">
            <v>COMPOSICAO</v>
          </cell>
          <cell r="C127" t="str">
            <v>88247</v>
          </cell>
          <cell r="D127" t="str">
            <v>AUXILIAR DE ELETRICISTA COM ENCARGOS COMPLEMENTARES</v>
          </cell>
          <cell r="E127" t="str">
            <v>H</v>
          </cell>
          <cell r="F127">
            <v>0.25309999999999999</v>
          </cell>
          <cell r="G127">
            <v>16.3</v>
          </cell>
          <cell r="H127">
            <v>0</v>
          </cell>
          <cell r="I127">
            <v>4.12</v>
          </cell>
          <cell r="J127"/>
        </row>
        <row r="128">
          <cell r="A128"/>
          <cell r="B128" t="str">
            <v>COMPOSICAO</v>
          </cell>
          <cell r="C128" t="str">
            <v>88264</v>
          </cell>
          <cell r="D128" t="str">
            <v>ELETRICISTA COM ENCARGOS COMPLEMENTARES</v>
          </cell>
          <cell r="E128" t="str">
            <v>H</v>
          </cell>
          <cell r="F128">
            <v>0.25309999999999999</v>
          </cell>
          <cell r="G128">
            <v>21.05</v>
          </cell>
          <cell r="H128">
            <v>5.32</v>
          </cell>
          <cell r="I128">
            <v>0</v>
          </cell>
          <cell r="J128"/>
        </row>
        <row r="129">
          <cell r="D129"/>
          <cell r="E129"/>
          <cell r="F129"/>
          <cell r="G129"/>
          <cell r="H129"/>
          <cell r="I129"/>
          <cell r="J129"/>
        </row>
        <row r="130">
          <cell r="A130" t="str">
            <v>3.8</v>
          </cell>
          <cell r="B130" t="str">
            <v>INEL</v>
          </cell>
          <cell r="C130" t="str">
            <v>COMPOSIÇAO 07</v>
          </cell>
          <cell r="D130" t="str">
            <v>CONECTOR PARAFUSO FENDIDO SPLIT-BOLT - PARA CABO DE 16MM2 - FORNECIMENTO E INSTALAÇÃO</v>
          </cell>
          <cell r="E130" t="str">
            <v xml:space="preserve">UN </v>
          </cell>
          <cell r="F130"/>
          <cell r="G130"/>
          <cell r="H130">
            <v>3.41</v>
          </cell>
          <cell r="I130">
            <v>7.47</v>
          </cell>
          <cell r="J130">
            <v>10.88</v>
          </cell>
        </row>
        <row r="131">
          <cell r="B131" t="str">
            <v>COMPOSICAO</v>
          </cell>
          <cell r="C131" t="str">
            <v>88247</v>
          </cell>
          <cell r="D131" t="str">
            <v>AUXILIAR DE ELETRICISTA COM ENCARGOS COMPLEMENTARES</v>
          </cell>
          <cell r="E131" t="str">
            <v>H</v>
          </cell>
          <cell r="F131">
            <v>0.2</v>
          </cell>
          <cell r="G131">
            <v>16.3</v>
          </cell>
          <cell r="H131">
            <v>0</v>
          </cell>
          <cell r="I131">
            <v>3.26</v>
          </cell>
          <cell r="J131"/>
        </row>
        <row r="132">
          <cell r="B132" t="str">
            <v>COMPOSICAO</v>
          </cell>
          <cell r="C132" t="str">
            <v>88264</v>
          </cell>
          <cell r="D132" t="str">
            <v>ELETRICISTA COM ENCARGOS COMPLEMENTARES</v>
          </cell>
          <cell r="E132" t="str">
            <v>H</v>
          </cell>
          <cell r="F132">
            <v>0.2</v>
          </cell>
          <cell r="G132">
            <v>21.05</v>
          </cell>
          <cell r="H132">
            <v>0</v>
          </cell>
          <cell r="I132">
            <v>4.21</v>
          </cell>
          <cell r="J132"/>
        </row>
        <row r="133">
          <cell r="B133" t="str">
            <v>INSUMO</v>
          </cell>
          <cell r="C133">
            <v>11856</v>
          </cell>
          <cell r="D133" t="str">
            <v>CONECTOR METALICO TIPO PARAFUSO FENDIDO (SPLIT BOLT), PARA CABOS ATE 10 MM2</v>
          </cell>
          <cell r="E133" t="str">
            <v>UN</v>
          </cell>
          <cell r="F133">
            <v>1</v>
          </cell>
          <cell r="G133">
            <v>3.41</v>
          </cell>
          <cell r="H133">
            <v>3.41</v>
          </cell>
          <cell r="I133">
            <v>0</v>
          </cell>
          <cell r="J133"/>
        </row>
        <row r="134">
          <cell r="D134" t="str">
            <v>COMPOSIÇÃO REFERENCIA: 72271</v>
          </cell>
        </row>
        <row r="136">
          <cell r="A136" t="str">
            <v>3.9</v>
          </cell>
          <cell r="B136" t="str">
            <v>INEL</v>
          </cell>
          <cell r="C136" t="str">
            <v>COMPOSIÇAO 08</v>
          </cell>
          <cell r="D136" t="str">
            <v>GRAMPO METALICO TIPO OLHAL PARA HASTE DE ATERRAMENTO DE 5/8'', CONDUTOR DE *10* A 50 MM2.</v>
          </cell>
          <cell r="E136" t="str">
            <v xml:space="preserve">UN </v>
          </cell>
          <cell r="F136"/>
          <cell r="G136"/>
          <cell r="H136">
            <v>3.04</v>
          </cell>
          <cell r="I136">
            <v>7.47</v>
          </cell>
          <cell r="J136">
            <v>10.51</v>
          </cell>
        </row>
        <row r="137">
          <cell r="B137" t="str">
            <v>COMPOSICAO</v>
          </cell>
          <cell r="C137" t="str">
            <v>88247</v>
          </cell>
          <cell r="D137" t="str">
            <v>AUXILIAR DE ELETRICISTA COM ENCARGOS COMPLEMENTARES</v>
          </cell>
          <cell r="E137" t="str">
            <v>H</v>
          </cell>
          <cell r="F137">
            <v>0.2</v>
          </cell>
          <cell r="G137">
            <v>16.3</v>
          </cell>
          <cell r="H137">
            <v>0</v>
          </cell>
          <cell r="I137">
            <v>3.26</v>
          </cell>
          <cell r="J137"/>
        </row>
        <row r="138">
          <cell r="B138" t="str">
            <v>COMPOSICAO</v>
          </cell>
          <cell r="C138" t="str">
            <v>88264</v>
          </cell>
          <cell r="D138" t="str">
            <v>ELETRICISTA COM ENCARGOS COMPLEMENTARES</v>
          </cell>
          <cell r="E138" t="str">
            <v>H</v>
          </cell>
          <cell r="F138">
            <v>0.2</v>
          </cell>
          <cell r="G138">
            <v>21.05</v>
          </cell>
          <cell r="H138">
            <v>0</v>
          </cell>
          <cell r="I138">
            <v>4.21</v>
          </cell>
          <cell r="J138"/>
        </row>
        <row r="139">
          <cell r="B139" t="str">
            <v>INSUMO</v>
          </cell>
          <cell r="C139">
            <v>425</v>
          </cell>
          <cell r="D139" t="str">
            <v>GRAMPO METALICO TIPO OLHAL PARA HASTE DE ATERRAMENTO DE 5/8'', CONDUTOR DE *10* A 50 MM2.</v>
          </cell>
          <cell r="E139" t="str">
            <v>UN</v>
          </cell>
          <cell r="F139">
            <v>1</v>
          </cell>
          <cell r="G139">
            <v>3.04</v>
          </cell>
          <cell r="H139">
            <v>3.04</v>
          </cell>
          <cell r="I139">
            <v>0</v>
          </cell>
          <cell r="J139"/>
        </row>
        <row r="140">
          <cell r="D140" t="str">
            <v>COMPOSIÇÃO REFERENCIA: 72271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" workbookViewId="0">
      <selection activeCell="C32" sqref="C32"/>
    </sheetView>
  </sheetViews>
  <sheetFormatPr defaultColWidth="9.140625" defaultRowHeight="12.75"/>
  <cols>
    <col min="1" max="1" width="7.42578125" style="230" customWidth="1"/>
    <col min="2" max="2" width="80.42578125" style="230" customWidth="1"/>
    <col min="3" max="3" width="16.85546875" style="230" customWidth="1"/>
    <col min="4" max="4" width="11.7109375" style="230" bestFit="1" customWidth="1"/>
    <col min="5" max="16384" width="9.140625" style="230"/>
  </cols>
  <sheetData>
    <row r="1" spans="1:3">
      <c r="A1" s="11" t="s">
        <v>377</v>
      </c>
      <c r="B1" s="12"/>
      <c r="C1" s="229"/>
    </row>
    <row r="2" spans="1:3" ht="15" customHeight="1">
      <c r="A2" s="11" t="s">
        <v>184</v>
      </c>
      <c r="B2" s="231"/>
      <c r="C2" s="232"/>
    </row>
    <row r="3" spans="1:3" ht="15" customHeight="1">
      <c r="A3" s="22" t="s">
        <v>93</v>
      </c>
      <c r="B3" s="231"/>
      <c r="C3" s="232"/>
    </row>
    <row r="4" spans="1:3" ht="8.1" customHeight="1">
      <c r="A4" s="233"/>
      <c r="B4" s="234"/>
      <c r="C4" s="235"/>
    </row>
    <row r="5" spans="1:3" ht="15" customHeight="1">
      <c r="A5" s="639" t="s">
        <v>376</v>
      </c>
      <c r="B5" s="640"/>
      <c r="C5" s="217"/>
    </row>
    <row r="6" spans="1:3" ht="13.5" customHeight="1" thickBot="1">
      <c r="A6" s="118"/>
      <c r="B6" s="119"/>
      <c r="C6" s="236"/>
    </row>
    <row r="7" spans="1:3">
      <c r="A7" s="237" t="s">
        <v>4</v>
      </c>
      <c r="B7" s="237" t="s">
        <v>48</v>
      </c>
      <c r="C7" s="238" t="s">
        <v>3</v>
      </c>
    </row>
    <row r="8" spans="1:3" ht="8.1" customHeight="1">
      <c r="A8" s="239"/>
      <c r="B8" s="240"/>
      <c r="C8" s="243"/>
    </row>
    <row r="9" spans="1:3">
      <c r="A9" s="244">
        <v>1</v>
      </c>
      <c r="B9" s="245" t="str">
        <f>'[1]PLANILHA ORÇAMENTÁRIA'!D10</f>
        <v>ELÉTRICA - SERVIÇOS PRELIMINARES</v>
      </c>
      <c r="C9" s="248">
        <f>'CRON FINAN'!W9</f>
        <v>25509.83</v>
      </c>
    </row>
    <row r="10" spans="1:3" ht="8.1" customHeight="1">
      <c r="A10" s="249"/>
      <c r="B10" s="250"/>
      <c r="C10" s="253"/>
    </row>
    <row r="11" spans="1:3">
      <c r="A11" s="254"/>
      <c r="B11" s="255"/>
      <c r="C11" s="258"/>
    </row>
    <row r="12" spans="1:3">
      <c r="A12" s="265">
        <v>2</v>
      </c>
      <c r="B12" s="266" t="str">
        <f>'PLAN ORÇ. PROJETÃO '!D17</f>
        <v>JARDIM LUCIANA</v>
      </c>
      <c r="C12" s="267">
        <f>'CRON FINAN'!W13</f>
        <v>112934.6</v>
      </c>
    </row>
    <row r="13" spans="1:3" ht="8.1" customHeight="1">
      <c r="A13" s="249"/>
      <c r="B13" s="268"/>
      <c r="C13" s="253"/>
    </row>
    <row r="14" spans="1:3">
      <c r="A14" s="269"/>
      <c r="B14" s="270"/>
      <c r="C14" s="272"/>
    </row>
    <row r="15" spans="1:3">
      <c r="A15" s="244">
        <v>3</v>
      </c>
      <c r="B15" s="273" t="str">
        <f>'PLAN ORÇ. PROJETÃO '!D28</f>
        <v>AVENIDA ÂNGELO RAVANELO</v>
      </c>
      <c r="C15" s="248">
        <f>'CRON FINAN'!W16</f>
        <v>70695.679999999993</v>
      </c>
    </row>
    <row r="16" spans="1:3" ht="8.1" customHeight="1">
      <c r="A16" s="249"/>
      <c r="B16" s="268"/>
      <c r="C16" s="253"/>
    </row>
    <row r="17" spans="1:4">
      <c r="A17" s="269"/>
      <c r="B17" s="270"/>
      <c r="C17" s="272"/>
    </row>
    <row r="18" spans="1:4">
      <c r="A18" s="244">
        <v>4</v>
      </c>
      <c r="B18" s="273" t="str">
        <f>'PLAN ORÇ. PROJETÃO '!D37</f>
        <v>COHABINHA</v>
      </c>
      <c r="C18" s="248">
        <f>'CRON FINAN'!W19</f>
        <v>4256.8500000000004</v>
      </c>
    </row>
    <row r="19" spans="1:4" ht="8.1" customHeight="1">
      <c r="A19" s="249"/>
      <c r="B19" s="268"/>
      <c r="C19" s="253"/>
    </row>
    <row r="20" spans="1:4">
      <c r="A20" s="269"/>
      <c r="B20" s="270"/>
      <c r="C20" s="272"/>
    </row>
    <row r="21" spans="1:4" ht="25.5">
      <c r="A21" s="244">
        <v>5</v>
      </c>
      <c r="B21" s="273" t="s">
        <v>298</v>
      </c>
      <c r="C21" s="248">
        <f>'CRON FINAN'!W22</f>
        <v>597918.91</v>
      </c>
    </row>
    <row r="22" spans="1:4" ht="8.1" customHeight="1">
      <c r="A22" s="249"/>
      <c r="B22" s="268"/>
      <c r="C22" s="253"/>
    </row>
    <row r="23" spans="1:4">
      <c r="A23" s="269"/>
      <c r="B23" s="270"/>
      <c r="C23" s="272"/>
    </row>
    <row r="24" spans="1:4">
      <c r="A24" s="244">
        <v>6</v>
      </c>
      <c r="B24" s="273" t="str">
        <f>'PLAN ORÇ. PROJETÃO '!D56</f>
        <v>AVENIDA PRIMAVERA</v>
      </c>
      <c r="C24" s="248">
        <f>'CRON FINAN'!W25</f>
        <v>92517.650000000009</v>
      </c>
    </row>
    <row r="25" spans="1:4" ht="8.1" customHeight="1">
      <c r="A25" s="249"/>
      <c r="B25" s="268"/>
      <c r="C25" s="253"/>
    </row>
    <row r="26" spans="1:4">
      <c r="A26" s="269"/>
      <c r="B26" s="270"/>
      <c r="C26" s="272"/>
    </row>
    <row r="27" spans="1:4">
      <c r="A27" s="244">
        <v>7</v>
      </c>
      <c r="B27" s="273" t="str">
        <f>'PLAN ORÇ. PROJETÃO '!D64</f>
        <v>DIVERSAS LOCALIDADES</v>
      </c>
      <c r="C27" s="248">
        <f>'CRON FINAN'!W28</f>
        <v>101891.6</v>
      </c>
      <c r="D27" s="274"/>
    </row>
    <row r="28" spans="1:4" ht="8.1" customHeight="1">
      <c r="A28" s="249"/>
      <c r="B28" s="268"/>
      <c r="C28" s="253"/>
    </row>
    <row r="29" spans="1:4" ht="6.75" customHeight="1">
      <c r="A29" s="269"/>
      <c r="B29" s="270"/>
      <c r="C29" s="272"/>
    </row>
    <row r="30" spans="1:4">
      <c r="A30" s="244">
        <v>8</v>
      </c>
      <c r="B30" s="273" t="s">
        <v>370</v>
      </c>
      <c r="C30" s="248">
        <f>'CRON FINAN'!W31</f>
        <v>424118.97</v>
      </c>
    </row>
    <row r="31" spans="1:4" ht="8.1" customHeight="1">
      <c r="A31" s="249"/>
      <c r="B31" s="268"/>
      <c r="C31" s="253"/>
    </row>
    <row r="32" spans="1:4" ht="6" customHeight="1">
      <c r="A32" s="269"/>
      <c r="B32" s="270"/>
      <c r="C32" s="272"/>
    </row>
    <row r="33" spans="1:3">
      <c r="A33" s="244">
        <v>9</v>
      </c>
      <c r="B33" s="273" t="s">
        <v>547</v>
      </c>
      <c r="C33" s="248">
        <f>'CRON FINAN'!W34</f>
        <v>214923.26</v>
      </c>
    </row>
    <row r="34" spans="1:3" ht="8.1" customHeight="1">
      <c r="A34" s="249"/>
      <c r="B34" s="268"/>
      <c r="C34" s="253"/>
    </row>
    <row r="35" spans="1:3" ht="6" customHeight="1">
      <c r="A35" s="269"/>
      <c r="B35" s="270"/>
      <c r="C35" s="272"/>
    </row>
    <row r="36" spans="1:3">
      <c r="A36" s="244">
        <v>10</v>
      </c>
      <c r="B36" s="273" t="s">
        <v>372</v>
      </c>
      <c r="C36" s="248">
        <f>'CRON FINAN'!W37</f>
        <v>280621.03000000003</v>
      </c>
    </row>
    <row r="37" spans="1:3" ht="8.1" customHeight="1">
      <c r="A37" s="269"/>
      <c r="B37" s="637"/>
      <c r="C37" s="272"/>
    </row>
    <row r="38" spans="1:3" ht="16.5" customHeight="1">
      <c r="A38" s="275"/>
      <c r="B38" s="638" t="s">
        <v>3</v>
      </c>
      <c r="C38" s="280">
        <f>SUM(C9:C36)</f>
        <v>1925388.38</v>
      </c>
    </row>
  </sheetData>
  <mergeCells count="1">
    <mergeCell ref="A5:B5"/>
  </mergeCells>
  <printOptions horizontalCentered="1" gridLines="1"/>
  <pageMargins left="0.51181102362204722" right="0.51181102362204722" top="0.98425196850393704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85" zoomScaleNormal="85" workbookViewId="0">
      <selection activeCell="J21" sqref="J21"/>
    </sheetView>
  </sheetViews>
  <sheetFormatPr defaultColWidth="9.140625" defaultRowHeight="15.75"/>
  <cols>
    <col min="1" max="1" width="9.5703125" style="299" customWidth="1"/>
    <col min="2" max="2" width="74.5703125" style="299" customWidth="1"/>
    <col min="3" max="3" width="15.140625" style="299" customWidth="1"/>
    <col min="4" max="4" width="17.28515625" style="299" customWidth="1"/>
    <col min="5" max="5" width="14.5703125" style="299" customWidth="1"/>
    <col min="6" max="6" width="15.42578125" style="299" customWidth="1"/>
    <col min="7" max="7" width="16.85546875" style="299" customWidth="1"/>
    <col min="8" max="8" width="11.7109375" style="299" bestFit="1" customWidth="1"/>
    <col min="9" max="16384" width="9.140625" style="299"/>
  </cols>
  <sheetData>
    <row r="1" spans="1:7" ht="17.25" customHeight="1">
      <c r="A1" s="349" t="s">
        <v>80</v>
      </c>
      <c r="B1" s="297"/>
      <c r="C1" s="297"/>
      <c r="D1" s="297"/>
      <c r="E1" s="297"/>
      <c r="F1" s="297"/>
      <c r="G1" s="298"/>
    </row>
    <row r="2" spans="1:7" ht="19.5" customHeight="1">
      <c r="A2" s="349" t="s">
        <v>184</v>
      </c>
      <c r="B2" s="300"/>
      <c r="C2" s="300"/>
      <c r="D2" s="300"/>
      <c r="E2" s="300"/>
      <c r="F2" s="300"/>
      <c r="G2" s="301"/>
    </row>
    <row r="3" spans="1:7" ht="18.75" customHeight="1">
      <c r="A3" s="350" t="s">
        <v>93</v>
      </c>
      <c r="B3" s="300"/>
      <c r="C3" s="300"/>
      <c r="D3" s="300"/>
      <c r="E3" s="300"/>
      <c r="F3" s="300"/>
      <c r="G3" s="301"/>
    </row>
    <row r="4" spans="1:7" ht="8.1" customHeight="1">
      <c r="A4" s="302"/>
      <c r="B4" s="303"/>
      <c r="C4" s="303"/>
      <c r="D4" s="303"/>
      <c r="E4" s="303"/>
      <c r="F4" s="303"/>
      <c r="G4" s="304"/>
    </row>
    <row r="5" spans="1:7" ht="23.25" customHeight="1">
      <c r="A5" s="641" t="s">
        <v>375</v>
      </c>
      <c r="B5" s="642"/>
      <c r="C5" s="642"/>
      <c r="D5" s="642"/>
      <c r="E5" s="642"/>
      <c r="F5" s="642"/>
      <c r="G5" s="643"/>
    </row>
    <row r="6" spans="1:7" ht="13.5" customHeight="1" thickBot="1">
      <c r="A6" s="305"/>
      <c r="B6" s="306"/>
      <c r="C6" s="306"/>
      <c r="D6" s="306"/>
      <c r="E6" s="306"/>
      <c r="F6" s="306"/>
      <c r="G6" s="307"/>
    </row>
    <row r="7" spans="1:7">
      <c r="A7" s="308" t="s">
        <v>4</v>
      </c>
      <c r="B7" s="308" t="s">
        <v>48</v>
      </c>
      <c r="C7" s="309" t="s">
        <v>32</v>
      </c>
      <c r="D7" s="309" t="s">
        <v>10</v>
      </c>
      <c r="E7" s="309" t="s">
        <v>11</v>
      </c>
      <c r="F7" s="309" t="s">
        <v>38</v>
      </c>
      <c r="G7" s="309" t="s">
        <v>3</v>
      </c>
    </row>
    <row r="8" spans="1:7" ht="8.1" customHeight="1">
      <c r="A8" s="310"/>
      <c r="B8" s="311"/>
      <c r="C8" s="312"/>
      <c r="D8" s="312"/>
      <c r="E8" s="312"/>
      <c r="F8" s="313"/>
      <c r="G8" s="314"/>
    </row>
    <row r="9" spans="1:7" ht="21" customHeight="1">
      <c r="A9" s="315">
        <v>1</v>
      </c>
      <c r="B9" s="316" t="str">
        <f>'[1]PLANILHA ORÇAMENTÁRIA'!D10</f>
        <v>ELÉTRICA - SERVIÇOS PRELIMINARES</v>
      </c>
      <c r="C9" s="317">
        <v>1</v>
      </c>
      <c r="D9" s="318">
        <v>0.33</v>
      </c>
      <c r="E9" s="318">
        <v>0.33</v>
      </c>
      <c r="F9" s="318">
        <v>0.34</v>
      </c>
      <c r="G9" s="319">
        <f>D9+E9+F9</f>
        <v>1</v>
      </c>
    </row>
    <row r="10" spans="1:7" ht="8.1" customHeight="1">
      <c r="A10" s="320"/>
      <c r="B10" s="321"/>
      <c r="C10" s="322"/>
      <c r="D10" s="323"/>
      <c r="E10" s="323"/>
      <c r="F10" s="323"/>
      <c r="G10" s="324"/>
    </row>
    <row r="11" spans="1:7" ht="21" customHeight="1">
      <c r="A11" s="325" t="s">
        <v>364</v>
      </c>
      <c r="B11" s="326" t="s">
        <v>367</v>
      </c>
      <c r="C11" s="327"/>
      <c r="D11" s="328"/>
      <c r="E11" s="328"/>
      <c r="F11" s="329"/>
      <c r="G11" s="330"/>
    </row>
    <row r="12" spans="1:7" ht="18.75" customHeight="1">
      <c r="A12" s="331">
        <v>2</v>
      </c>
      <c r="B12" s="332" t="str">
        <f>'PLAN ORÇ. PROJETÃO '!D17</f>
        <v>JARDIM LUCIANA</v>
      </c>
      <c r="C12" s="317">
        <v>1</v>
      </c>
      <c r="D12" s="318">
        <v>0.33</v>
      </c>
      <c r="E12" s="318">
        <v>0.33</v>
      </c>
      <c r="F12" s="318">
        <v>0.34</v>
      </c>
      <c r="G12" s="319">
        <f>D12+E12+F12</f>
        <v>1</v>
      </c>
    </row>
    <row r="13" spans="1:7" ht="8.1" customHeight="1">
      <c r="A13" s="320"/>
      <c r="B13" s="333"/>
      <c r="C13" s="322"/>
      <c r="D13" s="323"/>
      <c r="E13" s="334"/>
      <c r="F13" s="334"/>
      <c r="G13" s="324"/>
    </row>
    <row r="14" spans="1:7" ht="6.75" customHeight="1">
      <c r="A14" s="335"/>
      <c r="B14" s="336"/>
      <c r="C14" s="337"/>
      <c r="D14" s="338"/>
      <c r="E14" s="338"/>
      <c r="F14" s="338"/>
      <c r="G14" s="339"/>
    </row>
    <row r="15" spans="1:7" ht="18.75" customHeight="1">
      <c r="A15" s="315">
        <v>3</v>
      </c>
      <c r="B15" s="340" t="str">
        <f>'PLAN ORÇ. PROJETÃO '!D28</f>
        <v>AVENIDA ÂNGELO RAVANELO</v>
      </c>
      <c r="C15" s="317">
        <v>1</v>
      </c>
      <c r="D15" s="318">
        <v>0.33</v>
      </c>
      <c r="E15" s="318">
        <v>0.33</v>
      </c>
      <c r="F15" s="318">
        <v>0.34</v>
      </c>
      <c r="G15" s="319">
        <f>D15+E15+F15</f>
        <v>1</v>
      </c>
    </row>
    <row r="16" spans="1:7" ht="8.1" customHeight="1">
      <c r="A16" s="320"/>
      <c r="B16" s="333"/>
      <c r="C16" s="322"/>
      <c r="D16" s="323"/>
      <c r="E16" s="334"/>
      <c r="F16" s="334"/>
      <c r="G16" s="324"/>
    </row>
    <row r="17" spans="1:8">
      <c r="A17" s="335"/>
      <c r="B17" s="336"/>
      <c r="C17" s="337"/>
      <c r="D17" s="338"/>
      <c r="E17" s="338"/>
      <c r="F17" s="338"/>
      <c r="G17" s="339"/>
    </row>
    <row r="18" spans="1:8" ht="17.25" customHeight="1">
      <c r="A18" s="315">
        <v>4</v>
      </c>
      <c r="B18" s="340" t="str">
        <f>'PLAN ORÇ. PROJETÃO '!D37</f>
        <v>COHABINHA</v>
      </c>
      <c r="C18" s="317">
        <v>1</v>
      </c>
      <c r="D18" s="318">
        <v>0.33</v>
      </c>
      <c r="E18" s="318">
        <v>0.33</v>
      </c>
      <c r="F18" s="318">
        <v>0.34</v>
      </c>
      <c r="G18" s="319">
        <f>D18+E18+F18</f>
        <v>1</v>
      </c>
    </row>
    <row r="19" spans="1:8" ht="8.1" customHeight="1">
      <c r="A19" s="320"/>
      <c r="B19" s="333"/>
      <c r="C19" s="322"/>
      <c r="D19" s="323"/>
      <c r="E19" s="334"/>
      <c r="F19" s="334"/>
      <c r="G19" s="324"/>
    </row>
    <row r="20" spans="1:8" ht="9" customHeight="1">
      <c r="A20" s="335"/>
      <c r="B20" s="336"/>
      <c r="C20" s="337"/>
      <c r="D20" s="338"/>
      <c r="E20" s="338"/>
      <c r="F20" s="338"/>
      <c r="G20" s="339"/>
    </row>
    <row r="21" spans="1:8" ht="32.25" customHeight="1">
      <c r="A21" s="315">
        <v>5</v>
      </c>
      <c r="B21" s="340" t="s">
        <v>298</v>
      </c>
      <c r="C21" s="317"/>
      <c r="D21" s="318">
        <v>0.33</v>
      </c>
      <c r="E21" s="318">
        <v>0.33</v>
      </c>
      <c r="F21" s="318">
        <v>0.34</v>
      </c>
      <c r="G21" s="319">
        <f>D21+E21+F21</f>
        <v>1</v>
      </c>
    </row>
    <row r="22" spans="1:8" ht="8.1" customHeight="1">
      <c r="A22" s="320"/>
      <c r="B22" s="333"/>
      <c r="C22" s="322"/>
      <c r="D22" s="334"/>
      <c r="E22" s="323"/>
      <c r="F22" s="334"/>
      <c r="G22" s="324"/>
    </row>
    <row r="23" spans="1:8" ht="6.75" customHeight="1">
      <c r="A23" s="335"/>
      <c r="B23" s="336"/>
      <c r="C23" s="337"/>
      <c r="D23" s="338"/>
      <c r="E23" s="338"/>
      <c r="F23" s="338"/>
      <c r="G23" s="339"/>
    </row>
    <row r="24" spans="1:8" ht="17.25" customHeight="1">
      <c r="A24" s="315">
        <v>6</v>
      </c>
      <c r="B24" s="340" t="str">
        <f>'PLAN ORÇ. PROJETÃO '!D56</f>
        <v>AVENIDA PRIMAVERA</v>
      </c>
      <c r="C24" s="317">
        <v>1</v>
      </c>
      <c r="D24" s="318">
        <v>0.33</v>
      </c>
      <c r="E24" s="318">
        <v>0.33</v>
      </c>
      <c r="F24" s="318">
        <v>0.34</v>
      </c>
      <c r="G24" s="319">
        <f>D24+E24+F24</f>
        <v>1</v>
      </c>
    </row>
    <row r="25" spans="1:8" ht="8.1" customHeight="1">
      <c r="A25" s="320"/>
      <c r="B25" s="333"/>
      <c r="C25" s="322"/>
      <c r="D25" s="334"/>
      <c r="E25" s="323"/>
      <c r="F25" s="334"/>
      <c r="G25" s="324"/>
    </row>
    <row r="26" spans="1:8">
      <c r="A26" s="335"/>
      <c r="B26" s="336"/>
      <c r="C26" s="337"/>
      <c r="D26" s="338"/>
      <c r="E26" s="338"/>
      <c r="F26" s="338"/>
      <c r="G26" s="339"/>
    </row>
    <row r="27" spans="1:8" ht="18" customHeight="1">
      <c r="A27" s="315">
        <v>7</v>
      </c>
      <c r="B27" s="340" t="str">
        <f>'PLAN ORÇ. PROJETÃO '!D64</f>
        <v>DIVERSAS LOCALIDADES</v>
      </c>
      <c r="C27" s="317">
        <v>1</v>
      </c>
      <c r="D27" s="318">
        <v>0.33</v>
      </c>
      <c r="E27" s="318">
        <v>0.33</v>
      </c>
      <c r="F27" s="318">
        <v>0.34</v>
      </c>
      <c r="G27" s="319">
        <f>D27+E27+F27</f>
        <v>1</v>
      </c>
      <c r="H27" s="341"/>
    </row>
    <row r="28" spans="1:8" ht="8.1" customHeight="1">
      <c r="A28" s="320"/>
      <c r="B28" s="333"/>
      <c r="C28" s="322"/>
      <c r="D28" s="334"/>
      <c r="E28" s="323"/>
      <c r="F28" s="334"/>
      <c r="G28" s="324"/>
    </row>
    <row r="29" spans="1:8">
      <c r="A29" s="335"/>
      <c r="B29" s="336"/>
      <c r="C29" s="337"/>
      <c r="D29" s="338"/>
      <c r="E29" s="338"/>
      <c r="F29" s="338"/>
      <c r="G29" s="339"/>
    </row>
    <row r="30" spans="1:8" ht="16.5" customHeight="1">
      <c r="A30" s="315">
        <v>8</v>
      </c>
      <c r="B30" s="340" t="s">
        <v>370</v>
      </c>
      <c r="C30" s="317">
        <v>1</v>
      </c>
      <c r="D30" s="318">
        <v>0.33</v>
      </c>
      <c r="E30" s="318">
        <v>0.33</v>
      </c>
      <c r="F30" s="318">
        <v>0.34</v>
      </c>
      <c r="G30" s="319">
        <f>D30+E30+F30</f>
        <v>1</v>
      </c>
    </row>
    <row r="31" spans="1:8" ht="8.1" customHeight="1">
      <c r="A31" s="320"/>
      <c r="B31" s="333"/>
      <c r="C31" s="322"/>
      <c r="D31" s="334"/>
      <c r="E31" s="323"/>
      <c r="F31" s="334"/>
      <c r="G31" s="324"/>
    </row>
    <row r="32" spans="1:8">
      <c r="A32" s="335"/>
      <c r="B32" s="336"/>
      <c r="C32" s="337"/>
      <c r="D32" s="338"/>
      <c r="E32" s="338"/>
      <c r="F32" s="338"/>
      <c r="G32" s="339"/>
    </row>
    <row r="33" spans="1:7" ht="16.5" customHeight="1">
      <c r="A33" s="315">
        <v>9</v>
      </c>
      <c r="B33" s="340" t="s">
        <v>371</v>
      </c>
      <c r="C33" s="317">
        <v>1</v>
      </c>
      <c r="D33" s="318">
        <v>0.33</v>
      </c>
      <c r="E33" s="318">
        <v>0.33</v>
      </c>
      <c r="F33" s="318">
        <v>0.34</v>
      </c>
      <c r="G33" s="319">
        <f>D33+E33+F33</f>
        <v>1</v>
      </c>
    </row>
    <row r="34" spans="1:7" ht="8.1" customHeight="1">
      <c r="A34" s="320"/>
      <c r="B34" s="333"/>
      <c r="C34" s="322"/>
      <c r="D34" s="334"/>
      <c r="E34" s="334"/>
      <c r="F34" s="323"/>
      <c r="G34" s="324"/>
    </row>
    <row r="35" spans="1:7">
      <c r="A35" s="335"/>
      <c r="B35" s="336"/>
      <c r="C35" s="337"/>
      <c r="D35" s="342"/>
      <c r="E35" s="342"/>
      <c r="F35" s="342"/>
      <c r="G35" s="339"/>
    </row>
    <row r="36" spans="1:7" ht="18" customHeight="1">
      <c r="A36" s="315">
        <v>10</v>
      </c>
      <c r="B36" s="340" t="s">
        <v>372</v>
      </c>
      <c r="C36" s="317">
        <v>1</v>
      </c>
      <c r="D36" s="318">
        <v>0.33</v>
      </c>
      <c r="E36" s="318">
        <v>0.33</v>
      </c>
      <c r="F36" s="318">
        <v>0.34</v>
      </c>
      <c r="G36" s="319">
        <f>D36+E36+F36</f>
        <v>1</v>
      </c>
    </row>
    <row r="37" spans="1:7" ht="8.1" customHeight="1">
      <c r="A37" s="320"/>
      <c r="B37" s="333"/>
      <c r="C37" s="322"/>
      <c r="D37" s="334"/>
      <c r="E37" s="334"/>
      <c r="F37" s="323"/>
      <c r="G37" s="324"/>
    </row>
    <row r="38" spans="1:7">
      <c r="A38" s="335"/>
      <c r="B38" s="336"/>
      <c r="C38" s="337"/>
      <c r="D38" s="338"/>
      <c r="E38" s="338"/>
      <c r="F38" s="338"/>
      <c r="G38" s="339"/>
    </row>
    <row r="39" spans="1:7" ht="17.25" customHeight="1">
      <c r="A39" s="315">
        <v>11</v>
      </c>
      <c r="B39" s="340" t="s">
        <v>373</v>
      </c>
      <c r="C39" s="317">
        <v>1</v>
      </c>
      <c r="D39" s="318">
        <v>0.33</v>
      </c>
      <c r="E39" s="318">
        <v>0.33</v>
      </c>
      <c r="F39" s="318">
        <v>0.34</v>
      </c>
      <c r="G39" s="319">
        <f>D39+E39+F39</f>
        <v>1</v>
      </c>
    </row>
    <row r="40" spans="1:7" ht="8.1" customHeight="1">
      <c r="A40" s="320"/>
      <c r="B40" s="333"/>
      <c r="C40" s="322"/>
      <c r="D40" s="334"/>
      <c r="E40" s="334"/>
      <c r="F40" s="323"/>
      <c r="G40" s="324"/>
    </row>
    <row r="41" spans="1:7">
      <c r="A41" s="335"/>
      <c r="B41" s="336"/>
      <c r="C41" s="337"/>
      <c r="D41" s="338"/>
      <c r="E41" s="338"/>
      <c r="F41" s="338"/>
      <c r="G41" s="339"/>
    </row>
    <row r="42" spans="1:7" ht="18" customHeight="1">
      <c r="A42" s="315">
        <v>12</v>
      </c>
      <c r="B42" s="340" t="s">
        <v>374</v>
      </c>
      <c r="C42" s="317">
        <v>1</v>
      </c>
      <c r="D42" s="318">
        <v>0.33</v>
      </c>
      <c r="E42" s="318">
        <v>0.33</v>
      </c>
      <c r="F42" s="318">
        <v>0.34</v>
      </c>
      <c r="G42" s="319">
        <f>D42+E42+F42</f>
        <v>1</v>
      </c>
    </row>
    <row r="43" spans="1:7" ht="8.1" customHeight="1">
      <c r="A43" s="320"/>
      <c r="B43" s="333"/>
      <c r="C43" s="322"/>
      <c r="D43" s="334"/>
      <c r="E43" s="334"/>
      <c r="F43" s="323"/>
      <c r="G43" s="324"/>
    </row>
    <row r="44" spans="1:7">
      <c r="A44" s="335"/>
      <c r="B44" s="336"/>
      <c r="C44" s="337"/>
      <c r="D44" s="338"/>
      <c r="E44" s="338"/>
      <c r="F44" s="338"/>
      <c r="G44" s="339"/>
    </row>
    <row r="45" spans="1:7" ht="8.1" customHeight="1">
      <c r="A45" s="343"/>
      <c r="B45" s="344"/>
      <c r="C45" s="345"/>
      <c r="D45" s="346"/>
      <c r="E45" s="346"/>
      <c r="F45" s="347"/>
      <c r="G45" s="348"/>
    </row>
  </sheetData>
  <mergeCells count="1">
    <mergeCell ref="A5:G5"/>
  </mergeCells>
  <printOptions horizontalCentered="1" gridLines="1"/>
  <pageMargins left="0.98425196850393704" right="0.78740157480314965" top="0.98425196850393704" bottom="0.78740157480314965" header="0.31496062992125984" footer="0.31496062992125984"/>
  <pageSetup paperSize="9" scale="75" orientation="landscape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pane xSplit="2" ySplit="7" topLeftCell="S32" activePane="bottomRight" state="frozen"/>
      <selection pane="topRight" activeCell="C1" sqref="C1"/>
      <selection pane="bottomLeft" activeCell="A8" sqref="A8"/>
      <selection pane="bottomRight" activeCell="W31" sqref="W31"/>
    </sheetView>
  </sheetViews>
  <sheetFormatPr defaultColWidth="9.140625" defaultRowHeight="12.75"/>
  <cols>
    <col min="1" max="1" width="7.42578125" style="230" customWidth="1"/>
    <col min="2" max="2" width="40" style="230" customWidth="1"/>
    <col min="3" max="3" width="9" style="230" bestFit="1" customWidth="1"/>
    <col min="4" max="7" width="11.7109375" style="230" bestFit="1" customWidth="1"/>
    <col min="8" max="9" width="12.5703125" style="230" customWidth="1"/>
    <col min="10" max="10" width="13.140625" style="230" customWidth="1"/>
    <col min="11" max="15" width="13.28515625" style="230" bestFit="1" customWidth="1"/>
    <col min="16" max="22" width="13.28515625" style="230" customWidth="1"/>
    <col min="23" max="23" width="16.85546875" style="230" customWidth="1"/>
    <col min="24" max="24" width="11.7109375" style="230" bestFit="1" customWidth="1"/>
    <col min="25" max="16384" width="9.140625" style="230"/>
  </cols>
  <sheetData>
    <row r="1" spans="1:23">
      <c r="A1" s="11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229"/>
    </row>
    <row r="2" spans="1:23" ht="15" customHeight="1">
      <c r="A2" s="11" t="s">
        <v>184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2"/>
    </row>
    <row r="3" spans="1:23" ht="15" customHeight="1">
      <c r="A3" s="22" t="s">
        <v>93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2"/>
    </row>
    <row r="4" spans="1:23" ht="8.1" customHeight="1">
      <c r="A4" s="233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5"/>
    </row>
    <row r="5" spans="1:23" ht="15" customHeight="1">
      <c r="A5" s="601" t="s">
        <v>369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40"/>
      <c r="N5" s="640"/>
      <c r="O5" s="640"/>
      <c r="P5" s="640"/>
      <c r="Q5" s="640"/>
      <c r="R5" s="640"/>
      <c r="S5" s="640"/>
      <c r="T5" s="640"/>
      <c r="U5" s="640"/>
      <c r="V5" s="640"/>
      <c r="W5" s="648"/>
    </row>
    <row r="6" spans="1:23" ht="13.5" customHeight="1" thickBo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236"/>
    </row>
    <row r="7" spans="1:23">
      <c r="A7" s="237" t="s">
        <v>4</v>
      </c>
      <c r="B7" s="237" t="s">
        <v>48</v>
      </c>
      <c r="C7" s="238" t="s">
        <v>32</v>
      </c>
      <c r="D7" s="238" t="s">
        <v>10</v>
      </c>
      <c r="E7" s="238" t="s">
        <v>11</v>
      </c>
      <c r="F7" s="238" t="s">
        <v>38</v>
      </c>
      <c r="G7" s="238" t="s">
        <v>348</v>
      </c>
      <c r="H7" s="238" t="s">
        <v>349</v>
      </c>
      <c r="I7" s="238" t="s">
        <v>350</v>
      </c>
      <c r="J7" s="238" t="s">
        <v>351</v>
      </c>
      <c r="K7" s="238" t="s">
        <v>352</v>
      </c>
      <c r="L7" s="238" t="s">
        <v>353</v>
      </c>
      <c r="M7" s="238" t="s">
        <v>354</v>
      </c>
      <c r="N7" s="238" t="s">
        <v>355</v>
      </c>
      <c r="O7" s="238" t="s">
        <v>356</v>
      </c>
      <c r="P7" s="238" t="s">
        <v>357</v>
      </c>
      <c r="Q7" s="238" t="s">
        <v>358</v>
      </c>
      <c r="R7" s="238" t="s">
        <v>359</v>
      </c>
      <c r="S7" s="238" t="s">
        <v>360</v>
      </c>
      <c r="T7" s="238" t="s">
        <v>361</v>
      </c>
      <c r="U7" s="238" t="s">
        <v>362</v>
      </c>
      <c r="V7" s="238" t="s">
        <v>363</v>
      </c>
      <c r="W7" s="238" t="s">
        <v>3</v>
      </c>
    </row>
    <row r="8" spans="1:23" ht="8.1" customHeight="1">
      <c r="A8" s="239"/>
      <c r="B8" s="240"/>
      <c r="C8" s="241"/>
      <c r="D8" s="241"/>
      <c r="E8" s="241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3"/>
    </row>
    <row r="9" spans="1:23">
      <c r="A9" s="244">
        <v>1</v>
      </c>
      <c r="B9" s="245" t="str">
        <f>'[1]PLANILHA ORÇAMENTÁRIA'!D10</f>
        <v>ELÉTRICA - SERVIÇOS PRELIMINARES</v>
      </c>
      <c r="C9" s="246">
        <f>W9/$W$41</f>
        <v>1.3249186639424926E-2</v>
      </c>
      <c r="D9" s="247">
        <f t="shared" ref="D9:V9" si="0">$W$9*D11</f>
        <v>1339.266075</v>
      </c>
      <c r="E9" s="247">
        <f t="shared" si="0"/>
        <v>1339.266075</v>
      </c>
      <c r="F9" s="247">
        <f t="shared" si="0"/>
        <v>1339.266075</v>
      </c>
      <c r="G9" s="247">
        <f t="shared" si="0"/>
        <v>1339.266075</v>
      </c>
      <c r="H9" s="247">
        <f t="shared" si="0"/>
        <v>1339.266075</v>
      </c>
      <c r="I9" s="247">
        <f t="shared" si="0"/>
        <v>1339.266075</v>
      </c>
      <c r="J9" s="247">
        <f t="shared" si="0"/>
        <v>1339.266075</v>
      </c>
      <c r="K9" s="247">
        <f t="shared" si="0"/>
        <v>1339.266075</v>
      </c>
      <c r="L9" s="247">
        <f t="shared" si="0"/>
        <v>1339.266075</v>
      </c>
      <c r="M9" s="247">
        <f t="shared" si="0"/>
        <v>1339.266075</v>
      </c>
      <c r="N9" s="247">
        <f t="shared" si="0"/>
        <v>1339.266075</v>
      </c>
      <c r="O9" s="247">
        <f t="shared" si="0"/>
        <v>1339.266075</v>
      </c>
      <c r="P9" s="247">
        <f t="shared" si="0"/>
        <v>1339.266075</v>
      </c>
      <c r="Q9" s="247">
        <f t="shared" si="0"/>
        <v>1339.266075</v>
      </c>
      <c r="R9" s="247">
        <f t="shared" si="0"/>
        <v>1339.266075</v>
      </c>
      <c r="S9" s="247">
        <f t="shared" si="0"/>
        <v>1339.266075</v>
      </c>
      <c r="T9" s="247">
        <f t="shared" si="0"/>
        <v>1339.266075</v>
      </c>
      <c r="U9" s="247">
        <f t="shared" si="0"/>
        <v>1339.266075</v>
      </c>
      <c r="V9" s="247">
        <f t="shared" si="0"/>
        <v>1403.0406500000001</v>
      </c>
      <c r="W9" s="248">
        <f>'PLAN ORÇ. PROJETÃO '!K15</f>
        <v>25509.83</v>
      </c>
    </row>
    <row r="10" spans="1:23" ht="8.1" customHeight="1">
      <c r="A10" s="249"/>
      <c r="B10" s="250"/>
      <c r="C10" s="251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3"/>
    </row>
    <row r="11" spans="1:23">
      <c r="A11" s="254"/>
      <c r="B11" s="255" t="s">
        <v>2</v>
      </c>
      <c r="C11" s="256"/>
      <c r="D11" s="257">
        <v>5.2499999999999998E-2</v>
      </c>
      <c r="E11" s="257">
        <v>5.2499999999999998E-2</v>
      </c>
      <c r="F11" s="257">
        <v>5.2499999999999998E-2</v>
      </c>
      <c r="G11" s="257">
        <v>5.2499999999999998E-2</v>
      </c>
      <c r="H11" s="257">
        <v>5.2499999999999998E-2</v>
      </c>
      <c r="I11" s="257">
        <v>5.2499999999999998E-2</v>
      </c>
      <c r="J11" s="257">
        <v>5.2499999999999998E-2</v>
      </c>
      <c r="K11" s="257">
        <v>5.2499999999999998E-2</v>
      </c>
      <c r="L11" s="257">
        <v>5.2499999999999998E-2</v>
      </c>
      <c r="M11" s="257">
        <v>5.2499999999999998E-2</v>
      </c>
      <c r="N11" s="257">
        <v>5.2499999999999998E-2</v>
      </c>
      <c r="O11" s="257">
        <v>5.2499999999999998E-2</v>
      </c>
      <c r="P11" s="257">
        <v>5.2499999999999998E-2</v>
      </c>
      <c r="Q11" s="257">
        <v>5.2499999999999998E-2</v>
      </c>
      <c r="R11" s="257">
        <v>5.2499999999999998E-2</v>
      </c>
      <c r="S11" s="257">
        <v>5.2499999999999998E-2</v>
      </c>
      <c r="T11" s="257">
        <v>5.2499999999999998E-2</v>
      </c>
      <c r="U11" s="257">
        <v>5.2499999999999998E-2</v>
      </c>
      <c r="V11" s="257">
        <v>5.5E-2</v>
      </c>
      <c r="W11" s="258"/>
    </row>
    <row r="12" spans="1:23">
      <c r="A12" s="259" t="s">
        <v>364</v>
      </c>
      <c r="B12" s="260" t="s">
        <v>367</v>
      </c>
      <c r="C12" s="261"/>
      <c r="D12" s="262"/>
      <c r="E12" s="262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4"/>
    </row>
    <row r="13" spans="1:23">
      <c r="A13" s="265">
        <v>2</v>
      </c>
      <c r="B13" s="266" t="str">
        <f>'PLAN ORÇ. PROJETÃO '!D17</f>
        <v>JARDIM LUCIANA</v>
      </c>
      <c r="C13" s="246">
        <f>W13/$W$41</f>
        <v>5.8655490587306867E-2</v>
      </c>
      <c r="D13" s="247">
        <f t="shared" ref="D13:V13" si="1">$W$13*D15</f>
        <v>5929.0664999999999</v>
      </c>
      <c r="E13" s="247">
        <f t="shared" si="1"/>
        <v>5929.0664999999999</v>
      </c>
      <c r="F13" s="247">
        <f t="shared" si="1"/>
        <v>5929.0664999999999</v>
      </c>
      <c r="G13" s="247">
        <f t="shared" si="1"/>
        <v>5929.0664999999999</v>
      </c>
      <c r="H13" s="247">
        <f t="shared" si="1"/>
        <v>5929.0664999999999</v>
      </c>
      <c r="I13" s="247">
        <f t="shared" si="1"/>
        <v>5929.0664999999999</v>
      </c>
      <c r="J13" s="247">
        <f t="shared" si="1"/>
        <v>5929.0664999999999</v>
      </c>
      <c r="K13" s="247">
        <f t="shared" si="1"/>
        <v>5929.0664999999999</v>
      </c>
      <c r="L13" s="247">
        <f t="shared" si="1"/>
        <v>5929.0664999999999</v>
      </c>
      <c r="M13" s="247">
        <f t="shared" si="1"/>
        <v>5929.0664999999999</v>
      </c>
      <c r="N13" s="247">
        <f t="shared" si="1"/>
        <v>5929.0664999999999</v>
      </c>
      <c r="O13" s="247">
        <f t="shared" si="1"/>
        <v>5929.0664999999999</v>
      </c>
      <c r="P13" s="247">
        <f t="shared" si="1"/>
        <v>5929.0664999999999</v>
      </c>
      <c r="Q13" s="247">
        <f t="shared" si="1"/>
        <v>5929.0664999999999</v>
      </c>
      <c r="R13" s="247">
        <f t="shared" si="1"/>
        <v>5929.0664999999999</v>
      </c>
      <c r="S13" s="247">
        <f t="shared" si="1"/>
        <v>5929.0664999999999</v>
      </c>
      <c r="T13" s="247">
        <f t="shared" si="1"/>
        <v>5929.0664999999999</v>
      </c>
      <c r="U13" s="247">
        <f t="shared" si="1"/>
        <v>5929.0664999999999</v>
      </c>
      <c r="V13" s="247">
        <f t="shared" si="1"/>
        <v>6211.4030000000002</v>
      </c>
      <c r="W13" s="267">
        <f>'PLAN ORÇ. PROJETÃO '!K26</f>
        <v>112934.6</v>
      </c>
    </row>
    <row r="14" spans="1:23" ht="8.1" customHeight="1">
      <c r="A14" s="249"/>
      <c r="B14" s="268"/>
      <c r="C14" s="251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3"/>
    </row>
    <row r="15" spans="1:23">
      <c r="A15" s="269"/>
      <c r="B15" s="270" t="s">
        <v>2</v>
      </c>
      <c r="C15" s="271"/>
      <c r="D15" s="257">
        <v>5.2499999999999998E-2</v>
      </c>
      <c r="E15" s="257">
        <v>5.2499999999999998E-2</v>
      </c>
      <c r="F15" s="257">
        <v>5.2499999999999998E-2</v>
      </c>
      <c r="G15" s="257">
        <v>5.2499999999999998E-2</v>
      </c>
      <c r="H15" s="257">
        <v>5.2499999999999998E-2</v>
      </c>
      <c r="I15" s="257">
        <v>5.2499999999999998E-2</v>
      </c>
      <c r="J15" s="257">
        <v>5.2499999999999998E-2</v>
      </c>
      <c r="K15" s="257">
        <v>5.2499999999999998E-2</v>
      </c>
      <c r="L15" s="257">
        <v>5.2499999999999998E-2</v>
      </c>
      <c r="M15" s="257">
        <v>5.2499999999999998E-2</v>
      </c>
      <c r="N15" s="257">
        <v>5.2499999999999998E-2</v>
      </c>
      <c r="O15" s="257">
        <v>5.2499999999999998E-2</v>
      </c>
      <c r="P15" s="257">
        <v>5.2499999999999998E-2</v>
      </c>
      <c r="Q15" s="257">
        <v>5.2499999999999998E-2</v>
      </c>
      <c r="R15" s="257">
        <v>5.2499999999999998E-2</v>
      </c>
      <c r="S15" s="257">
        <v>5.2499999999999998E-2</v>
      </c>
      <c r="T15" s="257">
        <v>5.2499999999999998E-2</v>
      </c>
      <c r="U15" s="257">
        <v>5.2499999999999998E-2</v>
      </c>
      <c r="V15" s="257">
        <v>5.5E-2</v>
      </c>
      <c r="W15" s="272"/>
    </row>
    <row r="16" spans="1:23">
      <c r="A16" s="244">
        <v>3</v>
      </c>
      <c r="B16" s="273" t="str">
        <f>'PLAN ORÇ. PROJETÃO '!D28</f>
        <v>AVENIDA ÂNGELO RAVANELO</v>
      </c>
      <c r="C16" s="246">
        <f>W16/$W$41</f>
        <v>3.6717620576893685E-2</v>
      </c>
      <c r="D16" s="247">
        <f t="shared" ref="D16:V16" si="2">$W$16*D18</f>
        <v>3711.5231999999996</v>
      </c>
      <c r="E16" s="247">
        <f t="shared" si="2"/>
        <v>3711.5231999999996</v>
      </c>
      <c r="F16" s="247">
        <f t="shared" si="2"/>
        <v>3711.5231999999996</v>
      </c>
      <c r="G16" s="247">
        <f t="shared" si="2"/>
        <v>3711.5231999999996</v>
      </c>
      <c r="H16" s="247">
        <f t="shared" si="2"/>
        <v>3711.5231999999996</v>
      </c>
      <c r="I16" s="247">
        <f t="shared" si="2"/>
        <v>3711.5231999999996</v>
      </c>
      <c r="J16" s="247">
        <f t="shared" si="2"/>
        <v>3711.5231999999996</v>
      </c>
      <c r="K16" s="247">
        <f t="shared" si="2"/>
        <v>3711.5231999999996</v>
      </c>
      <c r="L16" s="247">
        <f t="shared" si="2"/>
        <v>3711.5231999999996</v>
      </c>
      <c r="M16" s="247">
        <f t="shared" si="2"/>
        <v>3711.5231999999996</v>
      </c>
      <c r="N16" s="247">
        <f t="shared" si="2"/>
        <v>3711.5231999999996</v>
      </c>
      <c r="O16" s="247">
        <f t="shared" si="2"/>
        <v>3711.5231999999996</v>
      </c>
      <c r="P16" s="247">
        <f t="shared" si="2"/>
        <v>3711.5231999999996</v>
      </c>
      <c r="Q16" s="247">
        <f t="shared" si="2"/>
        <v>3711.5231999999996</v>
      </c>
      <c r="R16" s="247">
        <f t="shared" si="2"/>
        <v>3711.5231999999996</v>
      </c>
      <c r="S16" s="247">
        <f t="shared" si="2"/>
        <v>3711.5231999999996</v>
      </c>
      <c r="T16" s="247">
        <f t="shared" si="2"/>
        <v>3711.5231999999996</v>
      </c>
      <c r="U16" s="247">
        <f t="shared" si="2"/>
        <v>3711.5231999999996</v>
      </c>
      <c r="V16" s="247">
        <f t="shared" si="2"/>
        <v>3888.2623999999996</v>
      </c>
      <c r="W16" s="248">
        <f>'PLAN ORÇ. PROJETÃO '!K35</f>
        <v>70695.679999999993</v>
      </c>
    </row>
    <row r="17" spans="1:24" ht="8.1" customHeight="1">
      <c r="A17" s="249"/>
      <c r="B17" s="268"/>
      <c r="C17" s="251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3"/>
    </row>
    <row r="18" spans="1:24">
      <c r="A18" s="269"/>
      <c r="B18" s="270" t="s">
        <v>2</v>
      </c>
      <c r="C18" s="271"/>
      <c r="D18" s="257">
        <v>5.2499999999999998E-2</v>
      </c>
      <c r="E18" s="257">
        <v>5.2499999999999998E-2</v>
      </c>
      <c r="F18" s="257">
        <v>5.2499999999999998E-2</v>
      </c>
      <c r="G18" s="257">
        <v>5.2499999999999998E-2</v>
      </c>
      <c r="H18" s="257">
        <v>5.2499999999999998E-2</v>
      </c>
      <c r="I18" s="257">
        <v>5.2499999999999998E-2</v>
      </c>
      <c r="J18" s="257">
        <v>5.2499999999999998E-2</v>
      </c>
      <c r="K18" s="257">
        <v>5.2499999999999998E-2</v>
      </c>
      <c r="L18" s="257">
        <v>5.2499999999999998E-2</v>
      </c>
      <c r="M18" s="257">
        <v>5.2499999999999998E-2</v>
      </c>
      <c r="N18" s="257">
        <v>5.2499999999999998E-2</v>
      </c>
      <c r="O18" s="257">
        <v>5.2499999999999998E-2</v>
      </c>
      <c r="P18" s="257">
        <v>5.2499999999999998E-2</v>
      </c>
      <c r="Q18" s="257">
        <v>5.2499999999999998E-2</v>
      </c>
      <c r="R18" s="257">
        <v>5.2499999999999998E-2</v>
      </c>
      <c r="S18" s="257">
        <v>5.2499999999999998E-2</v>
      </c>
      <c r="T18" s="257">
        <v>5.2499999999999998E-2</v>
      </c>
      <c r="U18" s="257">
        <v>5.2499999999999998E-2</v>
      </c>
      <c r="V18" s="257">
        <v>5.5E-2</v>
      </c>
      <c r="W18" s="272"/>
    </row>
    <row r="19" spans="1:24">
      <c r="A19" s="244">
        <v>4</v>
      </c>
      <c r="B19" s="273" t="str">
        <f>'PLAN ORÇ. PROJETÃO '!D37</f>
        <v>COHABINHA</v>
      </c>
      <c r="C19" s="246">
        <f>W19/$W$41</f>
        <v>2.2109045864294667E-3</v>
      </c>
      <c r="D19" s="247">
        <f t="shared" ref="D19:V19" si="3">$W$19*D21</f>
        <v>223.48462500000002</v>
      </c>
      <c r="E19" s="247">
        <f t="shared" si="3"/>
        <v>223.48462500000002</v>
      </c>
      <c r="F19" s="247">
        <f t="shared" si="3"/>
        <v>223.48462500000002</v>
      </c>
      <c r="G19" s="247">
        <f t="shared" si="3"/>
        <v>223.48462500000002</v>
      </c>
      <c r="H19" s="247">
        <f t="shared" si="3"/>
        <v>223.48462500000002</v>
      </c>
      <c r="I19" s="247">
        <f t="shared" si="3"/>
        <v>223.48462500000002</v>
      </c>
      <c r="J19" s="247">
        <f t="shared" si="3"/>
        <v>223.48462500000002</v>
      </c>
      <c r="K19" s="247">
        <f t="shared" si="3"/>
        <v>223.48462500000002</v>
      </c>
      <c r="L19" s="247">
        <f t="shared" si="3"/>
        <v>223.48462500000002</v>
      </c>
      <c r="M19" s="247">
        <f t="shared" si="3"/>
        <v>223.48462500000002</v>
      </c>
      <c r="N19" s="247">
        <f t="shared" si="3"/>
        <v>223.48462500000002</v>
      </c>
      <c r="O19" s="247">
        <f t="shared" si="3"/>
        <v>223.48462500000002</v>
      </c>
      <c r="P19" s="247">
        <f t="shared" si="3"/>
        <v>223.48462500000002</v>
      </c>
      <c r="Q19" s="247">
        <f t="shared" si="3"/>
        <v>223.48462500000002</v>
      </c>
      <c r="R19" s="247">
        <f t="shared" si="3"/>
        <v>223.48462500000002</v>
      </c>
      <c r="S19" s="247">
        <f t="shared" si="3"/>
        <v>223.48462500000002</v>
      </c>
      <c r="T19" s="247">
        <f t="shared" si="3"/>
        <v>223.48462500000002</v>
      </c>
      <c r="U19" s="247">
        <f t="shared" si="3"/>
        <v>223.48462500000002</v>
      </c>
      <c r="V19" s="247">
        <f t="shared" si="3"/>
        <v>234.12675000000002</v>
      </c>
      <c r="W19" s="248">
        <f>'PLAN ORÇ. PROJETÃO '!K45</f>
        <v>4256.8500000000004</v>
      </c>
    </row>
    <row r="20" spans="1:24" ht="8.1" customHeight="1">
      <c r="A20" s="249"/>
      <c r="B20" s="268"/>
      <c r="C20" s="251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3"/>
    </row>
    <row r="21" spans="1:24">
      <c r="A21" s="269"/>
      <c r="B21" s="270" t="s">
        <v>2</v>
      </c>
      <c r="C21" s="271"/>
      <c r="D21" s="257">
        <v>5.2499999999999998E-2</v>
      </c>
      <c r="E21" s="257">
        <v>5.2499999999999998E-2</v>
      </c>
      <c r="F21" s="257">
        <v>5.2499999999999998E-2</v>
      </c>
      <c r="G21" s="257">
        <v>5.2499999999999998E-2</v>
      </c>
      <c r="H21" s="257">
        <v>5.2499999999999998E-2</v>
      </c>
      <c r="I21" s="257">
        <v>5.2499999999999998E-2</v>
      </c>
      <c r="J21" s="257">
        <v>5.2499999999999998E-2</v>
      </c>
      <c r="K21" s="257">
        <v>5.2499999999999998E-2</v>
      </c>
      <c r="L21" s="257">
        <v>5.2499999999999998E-2</v>
      </c>
      <c r="M21" s="257">
        <v>5.2499999999999998E-2</v>
      </c>
      <c r="N21" s="257">
        <v>5.2499999999999998E-2</v>
      </c>
      <c r="O21" s="257">
        <v>5.2499999999999998E-2</v>
      </c>
      <c r="P21" s="257">
        <v>5.2499999999999998E-2</v>
      </c>
      <c r="Q21" s="257">
        <v>5.2499999999999998E-2</v>
      </c>
      <c r="R21" s="257">
        <v>5.2499999999999998E-2</v>
      </c>
      <c r="S21" s="257">
        <v>5.2499999999999998E-2</v>
      </c>
      <c r="T21" s="257">
        <v>5.2499999999999998E-2</v>
      </c>
      <c r="U21" s="257">
        <v>5.2499999999999998E-2</v>
      </c>
      <c r="V21" s="257">
        <v>5.5E-2</v>
      </c>
      <c r="W21" s="272"/>
    </row>
    <row r="22" spans="1:24" ht="38.25">
      <c r="A22" s="244">
        <v>5</v>
      </c>
      <c r="B22" s="273" t="s">
        <v>298</v>
      </c>
      <c r="C22" s="246"/>
      <c r="D22" s="247">
        <f t="shared" ref="D22:V22" si="4">$W$22*D24</f>
        <v>31390.742774999999</v>
      </c>
      <c r="E22" s="247">
        <f t="shared" si="4"/>
        <v>31390.742774999999</v>
      </c>
      <c r="F22" s="247">
        <f t="shared" si="4"/>
        <v>31390.742774999999</v>
      </c>
      <c r="G22" s="247">
        <f t="shared" si="4"/>
        <v>31390.742774999999</v>
      </c>
      <c r="H22" s="247">
        <f t="shared" si="4"/>
        <v>31390.742774999999</v>
      </c>
      <c r="I22" s="247">
        <f t="shared" si="4"/>
        <v>31390.742774999999</v>
      </c>
      <c r="J22" s="247">
        <f t="shared" si="4"/>
        <v>31390.742774999999</v>
      </c>
      <c r="K22" s="247">
        <f t="shared" si="4"/>
        <v>31390.742774999999</v>
      </c>
      <c r="L22" s="247">
        <f t="shared" si="4"/>
        <v>31390.742774999999</v>
      </c>
      <c r="M22" s="247">
        <f t="shared" si="4"/>
        <v>31390.742774999999</v>
      </c>
      <c r="N22" s="247">
        <f t="shared" si="4"/>
        <v>31390.742774999999</v>
      </c>
      <c r="O22" s="247">
        <f t="shared" si="4"/>
        <v>31390.742774999999</v>
      </c>
      <c r="P22" s="247">
        <f t="shared" si="4"/>
        <v>31390.742774999999</v>
      </c>
      <c r="Q22" s="247">
        <f t="shared" si="4"/>
        <v>31390.742774999999</v>
      </c>
      <c r="R22" s="247">
        <f t="shared" si="4"/>
        <v>31390.742774999999</v>
      </c>
      <c r="S22" s="247">
        <f t="shared" si="4"/>
        <v>31390.742774999999</v>
      </c>
      <c r="T22" s="247">
        <f t="shared" si="4"/>
        <v>31390.742774999999</v>
      </c>
      <c r="U22" s="247">
        <f t="shared" si="4"/>
        <v>31390.742774999999</v>
      </c>
      <c r="V22" s="247">
        <f t="shared" si="4"/>
        <v>32885.540050000003</v>
      </c>
      <c r="W22" s="248">
        <f>'PLAN ORÇ. PROJETÃO '!K54</f>
        <v>597918.91</v>
      </c>
    </row>
    <row r="23" spans="1:24" ht="8.1" customHeight="1">
      <c r="A23" s="249"/>
      <c r="B23" s="268"/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3"/>
    </row>
    <row r="24" spans="1:24">
      <c r="A24" s="269"/>
      <c r="B24" s="270" t="s">
        <v>2</v>
      </c>
      <c r="C24" s="271"/>
      <c r="D24" s="257">
        <v>5.2499999999999998E-2</v>
      </c>
      <c r="E24" s="257">
        <v>5.2499999999999998E-2</v>
      </c>
      <c r="F24" s="257">
        <v>5.2499999999999998E-2</v>
      </c>
      <c r="G24" s="257">
        <v>5.2499999999999998E-2</v>
      </c>
      <c r="H24" s="257">
        <v>5.2499999999999998E-2</v>
      </c>
      <c r="I24" s="257">
        <v>5.2499999999999998E-2</v>
      </c>
      <c r="J24" s="257">
        <v>5.2499999999999998E-2</v>
      </c>
      <c r="K24" s="257">
        <v>5.2499999999999998E-2</v>
      </c>
      <c r="L24" s="257">
        <v>5.2499999999999998E-2</v>
      </c>
      <c r="M24" s="257">
        <v>5.2499999999999998E-2</v>
      </c>
      <c r="N24" s="257">
        <v>5.2499999999999998E-2</v>
      </c>
      <c r="O24" s="257">
        <v>5.2499999999999998E-2</v>
      </c>
      <c r="P24" s="257">
        <v>5.2499999999999998E-2</v>
      </c>
      <c r="Q24" s="257">
        <v>5.2499999999999998E-2</v>
      </c>
      <c r="R24" s="257">
        <v>5.2499999999999998E-2</v>
      </c>
      <c r="S24" s="257">
        <v>5.2499999999999998E-2</v>
      </c>
      <c r="T24" s="257">
        <v>5.2499999999999998E-2</v>
      </c>
      <c r="U24" s="257">
        <v>5.2499999999999998E-2</v>
      </c>
      <c r="V24" s="257">
        <v>5.5E-2</v>
      </c>
      <c r="W24" s="272"/>
    </row>
    <row r="25" spans="1:24">
      <c r="A25" s="244">
        <v>6</v>
      </c>
      <c r="B25" s="273" t="str">
        <f>'PLAN ORÇ. PROJETÃO '!D56</f>
        <v>AVENIDA PRIMAVERA</v>
      </c>
      <c r="C25" s="246">
        <f>W25/$W$41</f>
        <v>4.805142222786242E-2</v>
      </c>
      <c r="D25" s="247">
        <f t="shared" ref="D25:V25" si="5">$W$25*D27</f>
        <v>4857.1766250000001</v>
      </c>
      <c r="E25" s="247">
        <f t="shared" si="5"/>
        <v>4857.1766250000001</v>
      </c>
      <c r="F25" s="247">
        <f t="shared" si="5"/>
        <v>4857.1766250000001</v>
      </c>
      <c r="G25" s="247">
        <f t="shared" si="5"/>
        <v>4857.1766250000001</v>
      </c>
      <c r="H25" s="247">
        <f t="shared" si="5"/>
        <v>4857.1766250000001</v>
      </c>
      <c r="I25" s="247">
        <f t="shared" si="5"/>
        <v>4857.1766250000001</v>
      </c>
      <c r="J25" s="247">
        <f t="shared" si="5"/>
        <v>4857.1766250000001</v>
      </c>
      <c r="K25" s="247">
        <f t="shared" si="5"/>
        <v>4857.1766250000001</v>
      </c>
      <c r="L25" s="247">
        <f t="shared" si="5"/>
        <v>4857.1766250000001</v>
      </c>
      <c r="M25" s="247">
        <f t="shared" si="5"/>
        <v>4857.1766250000001</v>
      </c>
      <c r="N25" s="247">
        <f t="shared" si="5"/>
        <v>4857.1766250000001</v>
      </c>
      <c r="O25" s="247">
        <f t="shared" si="5"/>
        <v>4857.1766250000001</v>
      </c>
      <c r="P25" s="247">
        <f t="shared" si="5"/>
        <v>4857.1766250000001</v>
      </c>
      <c r="Q25" s="247">
        <f t="shared" si="5"/>
        <v>4857.1766250000001</v>
      </c>
      <c r="R25" s="247">
        <f t="shared" si="5"/>
        <v>4857.1766250000001</v>
      </c>
      <c r="S25" s="247">
        <f t="shared" si="5"/>
        <v>4857.1766250000001</v>
      </c>
      <c r="T25" s="247">
        <f t="shared" si="5"/>
        <v>4857.1766250000001</v>
      </c>
      <c r="U25" s="247">
        <f t="shared" si="5"/>
        <v>4857.1766250000001</v>
      </c>
      <c r="V25" s="247">
        <f t="shared" si="5"/>
        <v>5088.4707500000004</v>
      </c>
      <c r="W25" s="248">
        <f>'PLAN ORÇ. PROJETÃO '!K62</f>
        <v>92517.650000000009</v>
      </c>
    </row>
    <row r="26" spans="1:24" ht="8.1" customHeight="1">
      <c r="A26" s="249"/>
      <c r="B26" s="268"/>
      <c r="C26" s="251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3"/>
    </row>
    <row r="27" spans="1:24">
      <c r="A27" s="269"/>
      <c r="B27" s="270" t="s">
        <v>2</v>
      </c>
      <c r="C27" s="271"/>
      <c r="D27" s="257">
        <v>5.2499999999999998E-2</v>
      </c>
      <c r="E27" s="257">
        <v>5.2499999999999998E-2</v>
      </c>
      <c r="F27" s="257">
        <v>5.2499999999999998E-2</v>
      </c>
      <c r="G27" s="257">
        <v>5.2499999999999998E-2</v>
      </c>
      <c r="H27" s="257">
        <v>5.2499999999999998E-2</v>
      </c>
      <c r="I27" s="257">
        <v>5.2499999999999998E-2</v>
      </c>
      <c r="J27" s="257">
        <v>5.2499999999999998E-2</v>
      </c>
      <c r="K27" s="257">
        <v>5.2499999999999998E-2</v>
      </c>
      <c r="L27" s="257">
        <v>5.2499999999999998E-2</v>
      </c>
      <c r="M27" s="257">
        <v>5.2499999999999998E-2</v>
      </c>
      <c r="N27" s="257">
        <v>5.2499999999999998E-2</v>
      </c>
      <c r="O27" s="257">
        <v>5.2499999999999998E-2</v>
      </c>
      <c r="P27" s="257">
        <v>5.2499999999999998E-2</v>
      </c>
      <c r="Q27" s="257">
        <v>5.2499999999999998E-2</v>
      </c>
      <c r="R27" s="257">
        <v>5.2499999999999998E-2</v>
      </c>
      <c r="S27" s="257">
        <v>5.2499999999999998E-2</v>
      </c>
      <c r="T27" s="257">
        <v>5.2499999999999998E-2</v>
      </c>
      <c r="U27" s="257">
        <v>5.2499999999999998E-2</v>
      </c>
      <c r="V27" s="257">
        <v>5.5E-2</v>
      </c>
      <c r="W27" s="272"/>
    </row>
    <row r="28" spans="1:24">
      <c r="A28" s="244">
        <v>7</v>
      </c>
      <c r="B28" s="273" t="str">
        <f>'PLAN ORÇ. PROJETÃO '!D64</f>
        <v>DIVERSAS LOCALIDADES</v>
      </c>
      <c r="C28" s="246">
        <f>W28/$W$41</f>
        <v>5.2920024374510877E-2</v>
      </c>
      <c r="D28" s="247">
        <f t="shared" ref="D28:V28" si="6">$W$28*D30</f>
        <v>5349.3090000000002</v>
      </c>
      <c r="E28" s="247">
        <f t="shared" si="6"/>
        <v>5349.3090000000002</v>
      </c>
      <c r="F28" s="247">
        <f t="shared" si="6"/>
        <v>5349.3090000000002</v>
      </c>
      <c r="G28" s="247">
        <f t="shared" si="6"/>
        <v>5349.3090000000002</v>
      </c>
      <c r="H28" s="247">
        <f t="shared" si="6"/>
        <v>5349.3090000000002</v>
      </c>
      <c r="I28" s="247">
        <f t="shared" si="6"/>
        <v>5349.3090000000002</v>
      </c>
      <c r="J28" s="247">
        <f t="shared" si="6"/>
        <v>5349.3090000000002</v>
      </c>
      <c r="K28" s="247">
        <f t="shared" si="6"/>
        <v>5349.3090000000002</v>
      </c>
      <c r="L28" s="247">
        <f t="shared" si="6"/>
        <v>5349.3090000000002</v>
      </c>
      <c r="M28" s="247">
        <f t="shared" si="6"/>
        <v>5349.3090000000002</v>
      </c>
      <c r="N28" s="247">
        <f t="shared" si="6"/>
        <v>5349.3090000000002</v>
      </c>
      <c r="O28" s="247">
        <f t="shared" si="6"/>
        <v>5349.3090000000002</v>
      </c>
      <c r="P28" s="247">
        <f t="shared" si="6"/>
        <v>5349.3090000000002</v>
      </c>
      <c r="Q28" s="247">
        <f t="shared" si="6"/>
        <v>5349.3090000000002</v>
      </c>
      <c r="R28" s="247">
        <f t="shared" si="6"/>
        <v>5349.3090000000002</v>
      </c>
      <c r="S28" s="247">
        <f t="shared" si="6"/>
        <v>5349.3090000000002</v>
      </c>
      <c r="T28" s="247">
        <f t="shared" si="6"/>
        <v>5349.3090000000002</v>
      </c>
      <c r="U28" s="247">
        <f t="shared" si="6"/>
        <v>5349.3090000000002</v>
      </c>
      <c r="V28" s="247">
        <f t="shared" si="6"/>
        <v>5604.0380000000005</v>
      </c>
      <c r="W28" s="248">
        <f>'PLAN ORÇ. PROJETÃO '!K105</f>
        <v>101891.6</v>
      </c>
      <c r="X28" s="274"/>
    </row>
    <row r="29" spans="1:24" ht="8.1" customHeight="1">
      <c r="A29" s="249"/>
      <c r="B29" s="268"/>
      <c r="C29" s="251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3"/>
    </row>
    <row r="30" spans="1:24">
      <c r="A30" s="269"/>
      <c r="B30" s="270" t="s">
        <v>2</v>
      </c>
      <c r="C30" s="271"/>
      <c r="D30" s="257">
        <v>5.2499999999999998E-2</v>
      </c>
      <c r="E30" s="257">
        <v>5.2499999999999998E-2</v>
      </c>
      <c r="F30" s="257">
        <v>5.2499999999999998E-2</v>
      </c>
      <c r="G30" s="257">
        <v>5.2499999999999998E-2</v>
      </c>
      <c r="H30" s="257">
        <v>5.2499999999999998E-2</v>
      </c>
      <c r="I30" s="257">
        <v>5.2499999999999998E-2</v>
      </c>
      <c r="J30" s="257">
        <v>5.2499999999999998E-2</v>
      </c>
      <c r="K30" s="257">
        <v>5.2499999999999998E-2</v>
      </c>
      <c r="L30" s="257">
        <v>5.2499999999999998E-2</v>
      </c>
      <c r="M30" s="257">
        <v>5.2499999999999998E-2</v>
      </c>
      <c r="N30" s="257">
        <v>5.2499999999999998E-2</v>
      </c>
      <c r="O30" s="257">
        <v>5.2499999999999998E-2</v>
      </c>
      <c r="P30" s="257">
        <v>5.2499999999999998E-2</v>
      </c>
      <c r="Q30" s="257">
        <v>5.2499999999999998E-2</v>
      </c>
      <c r="R30" s="257">
        <v>5.2499999999999998E-2</v>
      </c>
      <c r="S30" s="257">
        <v>5.2499999999999998E-2</v>
      </c>
      <c r="T30" s="257">
        <v>5.2499999999999998E-2</v>
      </c>
      <c r="U30" s="257">
        <v>5.2499999999999998E-2</v>
      </c>
      <c r="V30" s="257">
        <v>5.5E-2</v>
      </c>
      <c r="W30" s="272"/>
    </row>
    <row r="31" spans="1:24">
      <c r="A31" s="244">
        <v>8</v>
      </c>
      <c r="B31" s="273" t="s">
        <v>370</v>
      </c>
      <c r="C31" s="246">
        <f>W31/$W$41</f>
        <v>0.22027710066475004</v>
      </c>
      <c r="D31" s="247">
        <f t="shared" ref="D31:V31" si="7">$W$31*D33</f>
        <v>22266.245924999999</v>
      </c>
      <c r="E31" s="247">
        <f t="shared" si="7"/>
        <v>22266.245924999999</v>
      </c>
      <c r="F31" s="247">
        <f t="shared" si="7"/>
        <v>22266.245924999999</v>
      </c>
      <c r="G31" s="247">
        <f t="shared" si="7"/>
        <v>22266.245924999999</v>
      </c>
      <c r="H31" s="247">
        <f t="shared" si="7"/>
        <v>22266.245924999999</v>
      </c>
      <c r="I31" s="247">
        <f t="shared" si="7"/>
        <v>22266.245924999999</v>
      </c>
      <c r="J31" s="247">
        <f t="shared" si="7"/>
        <v>22266.245924999999</v>
      </c>
      <c r="K31" s="247">
        <f t="shared" si="7"/>
        <v>22266.245924999999</v>
      </c>
      <c r="L31" s="247">
        <f t="shared" si="7"/>
        <v>22266.245924999999</v>
      </c>
      <c r="M31" s="247">
        <f t="shared" si="7"/>
        <v>22266.245924999999</v>
      </c>
      <c r="N31" s="247">
        <f t="shared" si="7"/>
        <v>22266.245924999999</v>
      </c>
      <c r="O31" s="247">
        <f t="shared" si="7"/>
        <v>22266.245924999999</v>
      </c>
      <c r="P31" s="247">
        <f t="shared" si="7"/>
        <v>22266.245924999999</v>
      </c>
      <c r="Q31" s="247">
        <f t="shared" si="7"/>
        <v>22266.245924999999</v>
      </c>
      <c r="R31" s="247">
        <f t="shared" si="7"/>
        <v>22266.245924999999</v>
      </c>
      <c r="S31" s="247">
        <f t="shared" si="7"/>
        <v>22266.245924999999</v>
      </c>
      <c r="T31" s="247">
        <f t="shared" si="7"/>
        <v>22266.245924999999</v>
      </c>
      <c r="U31" s="247">
        <f t="shared" si="7"/>
        <v>22266.245924999999</v>
      </c>
      <c r="V31" s="247">
        <f t="shared" si="7"/>
        <v>23326.54335</v>
      </c>
      <c r="W31" s="248">
        <f>'PLAN AV S. SEB'!I39</f>
        <v>424118.97</v>
      </c>
    </row>
    <row r="32" spans="1:24" ht="8.1" customHeight="1">
      <c r="A32" s="249"/>
      <c r="B32" s="268"/>
      <c r="C32" s="251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3"/>
    </row>
    <row r="33" spans="1:23">
      <c r="A33" s="269"/>
      <c r="B33" s="270" t="s">
        <v>2</v>
      </c>
      <c r="C33" s="271"/>
      <c r="D33" s="257">
        <v>5.2499999999999998E-2</v>
      </c>
      <c r="E33" s="257">
        <v>5.2499999999999998E-2</v>
      </c>
      <c r="F33" s="257">
        <v>5.2499999999999998E-2</v>
      </c>
      <c r="G33" s="257">
        <v>5.2499999999999998E-2</v>
      </c>
      <c r="H33" s="257">
        <v>5.2499999999999998E-2</v>
      </c>
      <c r="I33" s="257">
        <v>5.2499999999999998E-2</v>
      </c>
      <c r="J33" s="257">
        <v>5.2499999999999998E-2</v>
      </c>
      <c r="K33" s="257">
        <v>5.2499999999999998E-2</v>
      </c>
      <c r="L33" s="257">
        <v>5.2499999999999998E-2</v>
      </c>
      <c r="M33" s="257">
        <v>5.2499999999999998E-2</v>
      </c>
      <c r="N33" s="257">
        <v>5.2499999999999998E-2</v>
      </c>
      <c r="O33" s="257">
        <v>5.2499999999999998E-2</v>
      </c>
      <c r="P33" s="257">
        <v>5.2499999999999998E-2</v>
      </c>
      <c r="Q33" s="257">
        <v>5.2499999999999998E-2</v>
      </c>
      <c r="R33" s="257">
        <v>5.2499999999999998E-2</v>
      </c>
      <c r="S33" s="257">
        <v>5.2499999999999998E-2</v>
      </c>
      <c r="T33" s="257">
        <v>5.2499999999999998E-2</v>
      </c>
      <c r="U33" s="257">
        <v>5.2499999999999998E-2</v>
      </c>
      <c r="V33" s="257">
        <v>5.5E-2</v>
      </c>
      <c r="W33" s="272"/>
    </row>
    <row r="34" spans="1:23">
      <c r="A34" s="244">
        <v>9</v>
      </c>
      <c r="B34" s="273" t="s">
        <v>531</v>
      </c>
      <c r="C34" s="246">
        <f>W34/$W$41</f>
        <v>0.11162592557040363</v>
      </c>
      <c r="D34" s="247">
        <f t="shared" ref="D34:V34" si="8">$W$34*D36</f>
        <v>11283.471149999999</v>
      </c>
      <c r="E34" s="247">
        <f t="shared" si="8"/>
        <v>11283.471149999999</v>
      </c>
      <c r="F34" s="247">
        <f t="shared" si="8"/>
        <v>11283.471149999999</v>
      </c>
      <c r="G34" s="247">
        <f t="shared" si="8"/>
        <v>11283.471149999999</v>
      </c>
      <c r="H34" s="247">
        <f t="shared" si="8"/>
        <v>11283.471149999999</v>
      </c>
      <c r="I34" s="247">
        <f t="shared" si="8"/>
        <v>11283.471149999999</v>
      </c>
      <c r="J34" s="247">
        <f t="shared" si="8"/>
        <v>11283.471149999999</v>
      </c>
      <c r="K34" s="247">
        <f t="shared" si="8"/>
        <v>11283.471149999999</v>
      </c>
      <c r="L34" s="247">
        <f t="shared" si="8"/>
        <v>11283.471149999999</v>
      </c>
      <c r="M34" s="247">
        <f t="shared" si="8"/>
        <v>11283.471149999999</v>
      </c>
      <c r="N34" s="247">
        <f t="shared" si="8"/>
        <v>11283.471149999999</v>
      </c>
      <c r="O34" s="247">
        <f t="shared" si="8"/>
        <v>11283.471149999999</v>
      </c>
      <c r="P34" s="247">
        <f t="shared" si="8"/>
        <v>11283.471149999999</v>
      </c>
      <c r="Q34" s="247">
        <f t="shared" si="8"/>
        <v>11283.471149999999</v>
      </c>
      <c r="R34" s="247">
        <f t="shared" si="8"/>
        <v>11283.471149999999</v>
      </c>
      <c r="S34" s="247">
        <f t="shared" si="8"/>
        <v>11283.471149999999</v>
      </c>
      <c r="T34" s="247">
        <f t="shared" si="8"/>
        <v>11283.471149999999</v>
      </c>
      <c r="U34" s="247">
        <f t="shared" si="8"/>
        <v>11283.471149999999</v>
      </c>
      <c r="V34" s="247">
        <f t="shared" si="8"/>
        <v>11820.7793</v>
      </c>
      <c r="W34" s="248">
        <v>214923.26</v>
      </c>
    </row>
    <row r="35" spans="1:23" ht="8.1" customHeight="1">
      <c r="A35" s="249"/>
      <c r="B35" s="268"/>
      <c r="C35" s="251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3"/>
    </row>
    <row r="36" spans="1:23">
      <c r="A36" s="269"/>
      <c r="B36" s="270" t="s">
        <v>2</v>
      </c>
      <c r="C36" s="271"/>
      <c r="D36" s="257">
        <v>5.2499999999999998E-2</v>
      </c>
      <c r="E36" s="257">
        <v>5.2499999999999998E-2</v>
      </c>
      <c r="F36" s="257">
        <v>5.2499999999999998E-2</v>
      </c>
      <c r="G36" s="257">
        <v>5.2499999999999998E-2</v>
      </c>
      <c r="H36" s="257">
        <v>5.2499999999999998E-2</v>
      </c>
      <c r="I36" s="257">
        <v>5.2499999999999998E-2</v>
      </c>
      <c r="J36" s="257">
        <v>5.2499999999999998E-2</v>
      </c>
      <c r="K36" s="257">
        <v>5.2499999999999998E-2</v>
      </c>
      <c r="L36" s="257">
        <v>5.2499999999999998E-2</v>
      </c>
      <c r="M36" s="257">
        <v>5.2499999999999998E-2</v>
      </c>
      <c r="N36" s="257">
        <v>5.2499999999999998E-2</v>
      </c>
      <c r="O36" s="257">
        <v>5.2499999999999998E-2</v>
      </c>
      <c r="P36" s="257">
        <v>5.2499999999999998E-2</v>
      </c>
      <c r="Q36" s="257">
        <v>5.2499999999999998E-2</v>
      </c>
      <c r="R36" s="257">
        <v>5.2499999999999998E-2</v>
      </c>
      <c r="S36" s="257">
        <v>5.2499999999999998E-2</v>
      </c>
      <c r="T36" s="257">
        <v>5.2499999999999998E-2</v>
      </c>
      <c r="U36" s="257">
        <v>5.2499999999999998E-2</v>
      </c>
      <c r="V36" s="257">
        <v>5.5E-2</v>
      </c>
      <c r="W36" s="272"/>
    </row>
    <row r="37" spans="1:23">
      <c r="A37" s="244">
        <v>10</v>
      </c>
      <c r="B37" s="273" t="s">
        <v>532</v>
      </c>
      <c r="C37" s="246">
        <f>W37/$W$41</f>
        <v>0.14574775298062204</v>
      </c>
      <c r="D37" s="247">
        <f t="shared" ref="D37:V37" si="9">$W$37*D39</f>
        <v>14732.604075000001</v>
      </c>
      <c r="E37" s="247">
        <f t="shared" si="9"/>
        <v>14732.604075000001</v>
      </c>
      <c r="F37" s="247">
        <f t="shared" si="9"/>
        <v>14732.604075000001</v>
      </c>
      <c r="G37" s="247">
        <f t="shared" si="9"/>
        <v>14732.604075000001</v>
      </c>
      <c r="H37" s="247">
        <f t="shared" si="9"/>
        <v>14732.604075000001</v>
      </c>
      <c r="I37" s="247">
        <f t="shared" si="9"/>
        <v>14732.604075000001</v>
      </c>
      <c r="J37" s="247">
        <f t="shared" si="9"/>
        <v>14732.604075000001</v>
      </c>
      <c r="K37" s="247">
        <f t="shared" si="9"/>
        <v>14732.604075000001</v>
      </c>
      <c r="L37" s="247">
        <f t="shared" si="9"/>
        <v>14732.604075000001</v>
      </c>
      <c r="M37" s="247">
        <f t="shared" si="9"/>
        <v>14732.604075000001</v>
      </c>
      <c r="N37" s="247">
        <f t="shared" si="9"/>
        <v>14732.604075000001</v>
      </c>
      <c r="O37" s="247">
        <f t="shared" si="9"/>
        <v>14732.604075000001</v>
      </c>
      <c r="P37" s="247">
        <f t="shared" si="9"/>
        <v>14732.604075000001</v>
      </c>
      <c r="Q37" s="247">
        <f t="shared" si="9"/>
        <v>14732.604075000001</v>
      </c>
      <c r="R37" s="247">
        <f t="shared" si="9"/>
        <v>14732.604075000001</v>
      </c>
      <c r="S37" s="247">
        <f t="shared" si="9"/>
        <v>14732.604075000001</v>
      </c>
      <c r="T37" s="247">
        <f t="shared" si="9"/>
        <v>14732.604075000001</v>
      </c>
      <c r="U37" s="247">
        <f t="shared" si="9"/>
        <v>14732.604075000001</v>
      </c>
      <c r="V37" s="247">
        <f t="shared" si="9"/>
        <v>15434.156650000001</v>
      </c>
      <c r="W37" s="248">
        <v>280621.03000000003</v>
      </c>
    </row>
    <row r="38" spans="1:23" ht="8.1" customHeight="1">
      <c r="A38" s="249"/>
      <c r="B38" s="268"/>
      <c r="C38" s="251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3"/>
    </row>
    <row r="39" spans="1:23">
      <c r="A39" s="269"/>
      <c r="B39" s="270" t="s">
        <v>2</v>
      </c>
      <c r="C39" s="271"/>
      <c r="D39" s="257">
        <v>5.2499999999999998E-2</v>
      </c>
      <c r="E39" s="257">
        <v>5.2499999999999998E-2</v>
      </c>
      <c r="F39" s="257">
        <v>5.2499999999999998E-2</v>
      </c>
      <c r="G39" s="257">
        <v>5.2499999999999998E-2</v>
      </c>
      <c r="H39" s="257">
        <v>5.2499999999999998E-2</v>
      </c>
      <c r="I39" s="257">
        <v>5.2499999999999998E-2</v>
      </c>
      <c r="J39" s="257">
        <v>5.2499999999999998E-2</v>
      </c>
      <c r="K39" s="257">
        <v>5.2499999999999998E-2</v>
      </c>
      <c r="L39" s="257">
        <v>5.2499999999999998E-2</v>
      </c>
      <c r="M39" s="257">
        <v>5.2499999999999998E-2</v>
      </c>
      <c r="N39" s="257">
        <v>5.2499999999999998E-2</v>
      </c>
      <c r="O39" s="257">
        <v>5.2499999999999998E-2</v>
      </c>
      <c r="P39" s="257">
        <v>5.2499999999999998E-2</v>
      </c>
      <c r="Q39" s="257">
        <v>5.2499999999999998E-2</v>
      </c>
      <c r="R39" s="257">
        <v>5.2499999999999998E-2</v>
      </c>
      <c r="S39" s="257">
        <v>5.2499999999999998E-2</v>
      </c>
      <c r="T39" s="257">
        <v>5.2499999999999998E-2</v>
      </c>
      <c r="U39" s="257">
        <v>5.2499999999999998E-2</v>
      </c>
      <c r="V39" s="257">
        <v>5.5E-2</v>
      </c>
      <c r="W39" s="272"/>
    </row>
    <row r="40" spans="1:23" ht="8.1" customHeight="1">
      <c r="A40" s="275"/>
      <c r="B40" s="276"/>
      <c r="C40" s="277"/>
      <c r="D40" s="278"/>
      <c r="E40" s="278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80"/>
    </row>
    <row r="41" spans="1:23">
      <c r="A41" s="281"/>
      <c r="B41" s="282"/>
      <c r="C41" s="295">
        <f>SUM(C8:C39)</f>
        <v>0.68945542820820394</v>
      </c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83"/>
      <c r="Q41" s="283"/>
      <c r="R41" s="283"/>
      <c r="S41" s="283"/>
      <c r="T41" s="283"/>
      <c r="U41" s="283"/>
      <c r="V41" s="283"/>
      <c r="W41" s="284">
        <f>TRUNC(SUM(W9:W39),2)</f>
        <v>1925388.38</v>
      </c>
    </row>
    <row r="42" spans="1:23">
      <c r="A42" s="281"/>
      <c r="B42" s="285"/>
      <c r="C42" s="285"/>
      <c r="D42" s="285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4"/>
    </row>
    <row r="43" spans="1:23" ht="18.75" customHeight="1">
      <c r="A43" s="287" t="s">
        <v>365</v>
      </c>
      <c r="B43" s="288"/>
      <c r="C43" s="289"/>
      <c r="D43" s="247">
        <f t="shared" ref="D43:V43" si="10">D37+D34+D31+D28+D25+D22+D19+D16+D13+D9</f>
        <v>101082.88995</v>
      </c>
      <c r="E43" s="247">
        <f t="shared" si="10"/>
        <v>101082.88995</v>
      </c>
      <c r="F43" s="247">
        <f t="shared" si="10"/>
        <v>101082.88995</v>
      </c>
      <c r="G43" s="247">
        <f t="shared" si="10"/>
        <v>101082.88995</v>
      </c>
      <c r="H43" s="247">
        <f t="shared" si="10"/>
        <v>101082.88995</v>
      </c>
      <c r="I43" s="247">
        <f t="shared" si="10"/>
        <v>101082.88995</v>
      </c>
      <c r="J43" s="247">
        <f t="shared" si="10"/>
        <v>101082.88995</v>
      </c>
      <c r="K43" s="247">
        <f t="shared" si="10"/>
        <v>101082.88995</v>
      </c>
      <c r="L43" s="247">
        <f t="shared" si="10"/>
        <v>101082.88995</v>
      </c>
      <c r="M43" s="247">
        <f t="shared" si="10"/>
        <v>101082.88995</v>
      </c>
      <c r="N43" s="247">
        <f t="shared" si="10"/>
        <v>101082.88995</v>
      </c>
      <c r="O43" s="247">
        <f t="shared" si="10"/>
        <v>101082.88995</v>
      </c>
      <c r="P43" s="247">
        <f t="shared" si="10"/>
        <v>101082.88995</v>
      </c>
      <c r="Q43" s="247">
        <f t="shared" si="10"/>
        <v>101082.88995</v>
      </c>
      <c r="R43" s="247">
        <f t="shared" si="10"/>
        <v>101082.88995</v>
      </c>
      <c r="S43" s="247">
        <f t="shared" si="10"/>
        <v>101082.88995</v>
      </c>
      <c r="T43" s="247">
        <f t="shared" si="10"/>
        <v>101082.88995</v>
      </c>
      <c r="U43" s="247">
        <f t="shared" si="10"/>
        <v>101082.88995</v>
      </c>
      <c r="V43" s="247">
        <f t="shared" si="10"/>
        <v>105896.3609</v>
      </c>
      <c r="W43" s="290"/>
    </row>
    <row r="44" spans="1:23" ht="18.75" customHeight="1">
      <c r="A44" s="644" t="s">
        <v>366</v>
      </c>
      <c r="B44" s="645"/>
      <c r="C44" s="645"/>
      <c r="D44" s="291">
        <f>D43</f>
        <v>101082.88995</v>
      </c>
      <c r="E44" s="291">
        <f t="shared" ref="E44:R44" si="11">D44+E43</f>
        <v>202165.77989999999</v>
      </c>
      <c r="F44" s="291">
        <f t="shared" si="11"/>
        <v>303248.66985000001</v>
      </c>
      <c r="G44" s="291">
        <f t="shared" si="11"/>
        <v>404331.55979999999</v>
      </c>
      <c r="H44" s="291">
        <f t="shared" si="11"/>
        <v>505414.44974999997</v>
      </c>
      <c r="I44" s="291">
        <f t="shared" si="11"/>
        <v>606497.33970000001</v>
      </c>
      <c r="J44" s="291">
        <f t="shared" si="11"/>
        <v>707580.22964999999</v>
      </c>
      <c r="K44" s="291">
        <f t="shared" si="11"/>
        <v>808663.11959999998</v>
      </c>
      <c r="L44" s="291">
        <f t="shared" si="11"/>
        <v>909746.00954999996</v>
      </c>
      <c r="M44" s="291">
        <f t="shared" si="11"/>
        <v>1010828.8994999999</v>
      </c>
      <c r="N44" s="291">
        <f t="shared" si="11"/>
        <v>1111911.78945</v>
      </c>
      <c r="O44" s="291">
        <f t="shared" si="11"/>
        <v>1212994.6794</v>
      </c>
      <c r="P44" s="291">
        <f t="shared" si="11"/>
        <v>1314077.56935</v>
      </c>
      <c r="Q44" s="291">
        <f t="shared" si="11"/>
        <v>1415160.4593</v>
      </c>
      <c r="R44" s="291">
        <f t="shared" si="11"/>
        <v>1516243.34925</v>
      </c>
      <c r="S44" s="291">
        <f t="shared" ref="S44:T44" si="12">R44+S43</f>
        <v>1617326.2392</v>
      </c>
      <c r="T44" s="291">
        <f t="shared" si="12"/>
        <v>1718409.1291499999</v>
      </c>
      <c r="U44" s="291">
        <f>T44+U43</f>
        <v>1819492.0190999999</v>
      </c>
      <c r="V44" s="296">
        <f t="shared" ref="V44" si="13">U44+V43</f>
        <v>1925388.38</v>
      </c>
      <c r="W44" s="290"/>
    </row>
    <row r="45" spans="1:23" ht="17.25" customHeight="1">
      <c r="A45" s="644" t="s">
        <v>12</v>
      </c>
      <c r="B45" s="645"/>
      <c r="C45" s="645"/>
      <c r="D45" s="292">
        <f t="shared" ref="D45:V45" si="14">D43/$W$41</f>
        <v>5.2499999999999998E-2</v>
      </c>
      <c r="E45" s="292">
        <f t="shared" si="14"/>
        <v>5.2499999999999998E-2</v>
      </c>
      <c r="F45" s="292">
        <f t="shared" si="14"/>
        <v>5.2499999999999998E-2</v>
      </c>
      <c r="G45" s="292">
        <f t="shared" si="14"/>
        <v>5.2499999999999998E-2</v>
      </c>
      <c r="H45" s="292">
        <f t="shared" si="14"/>
        <v>5.2499999999999998E-2</v>
      </c>
      <c r="I45" s="292">
        <f t="shared" si="14"/>
        <v>5.2499999999999998E-2</v>
      </c>
      <c r="J45" s="292">
        <f t="shared" si="14"/>
        <v>5.2499999999999998E-2</v>
      </c>
      <c r="K45" s="292">
        <f t="shared" si="14"/>
        <v>5.2499999999999998E-2</v>
      </c>
      <c r="L45" s="292">
        <f t="shared" si="14"/>
        <v>5.2499999999999998E-2</v>
      </c>
      <c r="M45" s="292">
        <f t="shared" si="14"/>
        <v>5.2499999999999998E-2</v>
      </c>
      <c r="N45" s="292">
        <f t="shared" si="14"/>
        <v>5.2499999999999998E-2</v>
      </c>
      <c r="O45" s="292">
        <f t="shared" si="14"/>
        <v>5.2499999999999998E-2</v>
      </c>
      <c r="P45" s="292">
        <f t="shared" si="14"/>
        <v>5.2499999999999998E-2</v>
      </c>
      <c r="Q45" s="292">
        <f t="shared" si="14"/>
        <v>5.2499999999999998E-2</v>
      </c>
      <c r="R45" s="292">
        <f t="shared" si="14"/>
        <v>5.2499999999999998E-2</v>
      </c>
      <c r="S45" s="292">
        <f t="shared" si="14"/>
        <v>5.2499999999999998E-2</v>
      </c>
      <c r="T45" s="292">
        <f t="shared" si="14"/>
        <v>5.2499999999999998E-2</v>
      </c>
      <c r="U45" s="292">
        <f t="shared" si="14"/>
        <v>5.2499999999999998E-2</v>
      </c>
      <c r="V45" s="292">
        <f t="shared" si="14"/>
        <v>5.5E-2</v>
      </c>
      <c r="W45" s="290"/>
    </row>
    <row r="46" spans="1:23" ht="16.5" customHeight="1">
      <c r="A46" s="646" t="s">
        <v>13</v>
      </c>
      <c r="B46" s="647"/>
      <c r="C46" s="647"/>
      <c r="D46" s="257">
        <f>D45</f>
        <v>5.2499999999999998E-2</v>
      </c>
      <c r="E46" s="257">
        <f>D46+E45</f>
        <v>0.105</v>
      </c>
      <c r="F46" s="257">
        <f t="shared" ref="F46:V46" si="15">E46+F45</f>
        <v>0.1575</v>
      </c>
      <c r="G46" s="257">
        <f t="shared" si="15"/>
        <v>0.21</v>
      </c>
      <c r="H46" s="257">
        <f t="shared" si="15"/>
        <v>0.26250000000000001</v>
      </c>
      <c r="I46" s="257">
        <f t="shared" si="15"/>
        <v>0.315</v>
      </c>
      <c r="J46" s="257">
        <f t="shared" si="15"/>
        <v>0.36749999999999999</v>
      </c>
      <c r="K46" s="257">
        <f t="shared" si="15"/>
        <v>0.42</v>
      </c>
      <c r="L46" s="257">
        <f t="shared" si="15"/>
        <v>0.47249999999999998</v>
      </c>
      <c r="M46" s="257">
        <f t="shared" si="15"/>
        <v>0.52500000000000002</v>
      </c>
      <c r="N46" s="257">
        <f t="shared" si="15"/>
        <v>0.57750000000000001</v>
      </c>
      <c r="O46" s="257">
        <f t="shared" si="15"/>
        <v>0.63</v>
      </c>
      <c r="P46" s="257">
        <f t="shared" si="15"/>
        <v>0.6825</v>
      </c>
      <c r="Q46" s="257">
        <f t="shared" si="15"/>
        <v>0.73499999999999999</v>
      </c>
      <c r="R46" s="257">
        <f t="shared" si="15"/>
        <v>0.78749999999999998</v>
      </c>
      <c r="S46" s="257">
        <f t="shared" si="15"/>
        <v>0.84</v>
      </c>
      <c r="T46" s="257">
        <f t="shared" si="15"/>
        <v>0.89249999999999996</v>
      </c>
      <c r="U46" s="257">
        <f t="shared" si="15"/>
        <v>0.94499999999999995</v>
      </c>
      <c r="V46" s="257">
        <f t="shared" si="15"/>
        <v>1</v>
      </c>
      <c r="W46" s="293"/>
    </row>
    <row r="48" spans="1:23">
      <c r="D48" s="274">
        <f>D28+D25+D22+D19+D16+D13+D9</f>
        <v>52800.568800000001</v>
      </c>
    </row>
    <row r="65" spans="22:22">
      <c r="V65" s="230">
        <v>600</v>
      </c>
    </row>
  </sheetData>
  <mergeCells count="4">
    <mergeCell ref="A44:C44"/>
    <mergeCell ref="A45:C45"/>
    <mergeCell ref="A46:C46"/>
    <mergeCell ref="M5:W5"/>
  </mergeCells>
  <printOptions horizontalCentered="1" gridLines="1"/>
  <pageMargins left="0.51181102362204722" right="0.51181102362204722" top="0.98425196850393704" bottom="0.78740157480314965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view="pageBreakPreview" topLeftCell="A91" zoomScale="93" zoomScaleNormal="100" zoomScaleSheetLayoutView="85" workbookViewId="0">
      <selection activeCell="K111" sqref="K111:K112"/>
    </sheetView>
  </sheetViews>
  <sheetFormatPr defaultColWidth="11.42578125" defaultRowHeight="12.75"/>
  <cols>
    <col min="1" max="1" width="7.85546875" style="109" customWidth="1"/>
    <col min="2" max="2" width="7.28515625" style="109" customWidth="1"/>
    <col min="3" max="3" width="13.42578125" style="109" customWidth="1"/>
    <col min="4" max="4" width="78.7109375" style="66" customWidth="1"/>
    <col min="5" max="5" width="5.42578125" style="109" customWidth="1"/>
    <col min="6" max="6" width="9.5703125" style="116" customWidth="1"/>
    <col min="7" max="7" width="9.28515625" style="117" customWidth="1"/>
    <col min="8" max="8" width="9.42578125" style="117" bestFit="1" customWidth="1"/>
    <col min="9" max="9" width="11" style="117" customWidth="1"/>
    <col min="10" max="10" width="15" style="117" customWidth="1"/>
    <col min="11" max="11" width="16.28515625" style="117" customWidth="1"/>
    <col min="12" max="12" width="14.7109375" style="66" hidden="1" customWidth="1"/>
    <col min="13" max="13" width="16.42578125" style="66" hidden="1" customWidth="1"/>
    <col min="14" max="14" width="0.28515625" style="66" hidden="1" customWidth="1"/>
    <col min="15" max="15" width="11.5703125" style="66" hidden="1" customWidth="1"/>
    <col min="16" max="16384" width="11.42578125" style="66"/>
  </cols>
  <sheetData>
    <row r="1" spans="1:16">
      <c r="A1" s="66"/>
      <c r="B1" s="649"/>
      <c r="C1" s="649"/>
      <c r="D1" s="649"/>
      <c r="E1" s="649"/>
      <c r="F1" s="649"/>
      <c r="G1" s="649"/>
      <c r="H1" s="649"/>
      <c r="I1" s="650"/>
      <c r="J1" s="650"/>
      <c r="K1" s="651"/>
    </row>
    <row r="2" spans="1:16">
      <c r="A2" s="11" t="s">
        <v>80</v>
      </c>
      <c r="B2" s="11"/>
      <c r="C2" s="1"/>
      <c r="D2" s="1"/>
      <c r="E2" s="1"/>
      <c r="F2" s="1"/>
      <c r="G2" s="1"/>
      <c r="H2" s="1"/>
      <c r="I2" s="1"/>
      <c r="J2" s="1"/>
      <c r="K2" s="2"/>
    </row>
    <row r="3" spans="1:16">
      <c r="A3" s="11" t="s">
        <v>184</v>
      </c>
      <c r="B3" s="11"/>
      <c r="C3" s="1"/>
      <c r="D3" s="1"/>
      <c r="E3" s="1"/>
      <c r="F3" s="1"/>
      <c r="G3" s="1"/>
      <c r="H3" s="1"/>
      <c r="I3" s="1"/>
      <c r="J3" s="1"/>
      <c r="K3" s="2"/>
    </row>
    <row r="4" spans="1:16">
      <c r="A4" s="22" t="s">
        <v>93</v>
      </c>
      <c r="B4" s="22"/>
      <c r="C4" s="1"/>
      <c r="D4" s="1"/>
      <c r="E4" s="1"/>
      <c r="F4" s="1"/>
      <c r="G4" s="1"/>
      <c r="H4" s="1"/>
      <c r="I4" s="1"/>
      <c r="J4" s="1"/>
      <c r="K4" s="763">
        <v>0.249</v>
      </c>
    </row>
    <row r="5" spans="1:16">
      <c r="A5" s="67"/>
      <c r="B5" s="67"/>
      <c r="C5" s="67"/>
      <c r="D5" s="67"/>
      <c r="E5" s="67"/>
      <c r="F5" s="68"/>
      <c r="G5" s="69"/>
      <c r="H5" s="69"/>
      <c r="I5" s="69"/>
      <c r="J5" s="69"/>
      <c r="K5" s="70" t="s">
        <v>533</v>
      </c>
    </row>
    <row r="6" spans="1:16" ht="15.75">
      <c r="A6" s="71"/>
      <c r="B6" s="71"/>
      <c r="C6" s="71"/>
      <c r="D6" s="72" t="s">
        <v>70</v>
      </c>
      <c r="E6" s="71"/>
      <c r="F6" s="73"/>
      <c r="G6" s="74"/>
      <c r="H6" s="74"/>
      <c r="I6" s="74"/>
      <c r="J6" s="74"/>
      <c r="K6" s="357">
        <f>BDI!E46</f>
        <v>0.249</v>
      </c>
    </row>
    <row r="7" spans="1:16">
      <c r="A7" s="358"/>
      <c r="B7" s="655"/>
      <c r="C7" s="655"/>
      <c r="D7" s="655"/>
      <c r="E7" s="655"/>
      <c r="F7" s="656"/>
      <c r="G7" s="652" t="s">
        <v>79</v>
      </c>
      <c r="H7" s="653"/>
      <c r="I7" s="654"/>
      <c r="J7" s="137"/>
      <c r="K7" s="75" t="s">
        <v>67</v>
      </c>
    </row>
    <row r="8" spans="1:16" ht="25.5">
      <c r="A8" s="75" t="s">
        <v>4</v>
      </c>
      <c r="B8" s="76" t="s">
        <v>87</v>
      </c>
      <c r="C8" s="76" t="s">
        <v>5</v>
      </c>
      <c r="D8" s="34" t="s">
        <v>41</v>
      </c>
      <c r="E8" s="75" t="s">
        <v>0</v>
      </c>
      <c r="F8" s="77" t="s">
        <v>6</v>
      </c>
      <c r="G8" s="78" t="s">
        <v>27</v>
      </c>
      <c r="H8" s="76" t="s">
        <v>28</v>
      </c>
      <c r="I8" s="76" t="s">
        <v>84</v>
      </c>
      <c r="J8" s="76" t="s">
        <v>85</v>
      </c>
      <c r="K8" s="79" t="s">
        <v>88</v>
      </c>
    </row>
    <row r="9" spans="1:16">
      <c r="A9" s="126"/>
      <c r="B9" s="126"/>
      <c r="C9" s="126"/>
      <c r="D9" s="127"/>
      <c r="E9" s="128"/>
      <c r="F9" s="129"/>
      <c r="G9" s="130"/>
      <c r="H9" s="131"/>
      <c r="I9" s="131"/>
      <c r="J9" s="131"/>
      <c r="K9" s="132"/>
    </row>
    <row r="10" spans="1:16">
      <c r="A10" s="80">
        <v>1</v>
      </c>
      <c r="B10" s="80" t="s">
        <v>83</v>
      </c>
      <c r="C10" s="81"/>
      <c r="D10" s="82" t="s">
        <v>8</v>
      </c>
      <c r="E10" s="80"/>
      <c r="F10" s="83"/>
      <c r="G10" s="84"/>
      <c r="H10" s="84"/>
      <c r="I10" s="84"/>
      <c r="J10" s="84"/>
      <c r="K10" s="85"/>
    </row>
    <row r="11" spans="1:16" s="92" customFormat="1">
      <c r="A11" s="86" t="s">
        <v>9</v>
      </c>
      <c r="B11" s="86">
        <v>1</v>
      </c>
      <c r="C11" s="87" t="str">
        <f>VLOOKUP($B11,COMPOSIÇÃO!$A$10:$K$84,3,FALSE)</f>
        <v>COTAÇÃO</v>
      </c>
      <c r="D11" s="88" t="str">
        <f>VLOOKUP($B11,COMPOSIÇÃO!$A$10:$K$84,4,FALSE)</f>
        <v>ART - ANOTAÇÃO DE RESPONSABILIDADE TÉCNICA</v>
      </c>
      <c r="E11" s="86" t="str">
        <f>VLOOKUP($B11,COMPOSIÇÃO!$A$10:$K$84,5,FALSE)</f>
        <v>UN</v>
      </c>
      <c r="F11" s="607">
        <v>1</v>
      </c>
      <c r="G11" s="608">
        <f>VLOOKUP($B11,COMPOSIÇÃO!$A$10:$K$84,9,FALSE)</f>
        <v>0</v>
      </c>
      <c r="H11" s="608">
        <f>VLOOKUP($B11,COMPOSIÇÃO!$A$10:$K$84,10,FALSE)</f>
        <v>226.5</v>
      </c>
      <c r="I11" s="608">
        <f>TRUNC((H11+G11),2)</f>
        <v>226.5</v>
      </c>
      <c r="J11" s="608">
        <f>TRUNC((I11+I11*$K$4),2)</f>
        <v>282.89</v>
      </c>
      <c r="K11" s="609">
        <f>TRUNC((J11)*F11,2)</f>
        <v>282.89</v>
      </c>
    </row>
    <row r="12" spans="1:16" s="92" customFormat="1" ht="25.5">
      <c r="A12" s="86" t="s">
        <v>81</v>
      </c>
      <c r="B12" s="86">
        <v>2</v>
      </c>
      <c r="C12" s="87" t="str">
        <f>VLOOKUP($B12,COMPOSIÇÃO!$A$10:$K$84,3,FALSE)</f>
        <v>COMPOSIÇÃO</v>
      </c>
      <c r="D12" s="88" t="str">
        <f>VLOOKUP($B12,COMPOSIÇÃO!$A$10:$K$84,4,FALSE)</f>
        <v>MOBILIZACAO E DESMOBILIZAÇÃO DE 01 EQUIPAMENTO CAMINHÃO MUNCK COM CESTO AÉREO, DISTANCIA DE 10KM ATE 20KM</v>
      </c>
      <c r="E12" s="86" t="s">
        <v>14</v>
      </c>
      <c r="F12" s="607">
        <v>6</v>
      </c>
      <c r="G12" s="608">
        <f>VLOOKUP($B12,COMPOSIÇÃO!$A$10:$K$84,9,FALSE)</f>
        <v>0</v>
      </c>
      <c r="H12" s="608">
        <f>VLOOKUP($B12,COMPOSIÇÃO!$A$10:$K$84,10,FALSE)</f>
        <v>157.76</v>
      </c>
      <c r="I12" s="608">
        <f t="shared" ref="I12:I14" si="0">TRUNC((H12+G12),2)</f>
        <v>157.76</v>
      </c>
      <c r="J12" s="608">
        <f t="shared" ref="J12:J14" si="1">TRUNC((I12+I12*$K$4),2)</f>
        <v>197.04</v>
      </c>
      <c r="K12" s="609">
        <f t="shared" ref="K12:K13" si="2">TRUNC((J12)*F12,2)</f>
        <v>1182.24</v>
      </c>
    </row>
    <row r="13" spans="1:16" s="92" customFormat="1">
      <c r="A13" s="86" t="s">
        <v>66</v>
      </c>
      <c r="B13" s="86">
        <v>3</v>
      </c>
      <c r="C13" s="87" t="str">
        <f>VLOOKUP($B13,COMPOSIÇÃO!$A$10:$K$84,3,FALSE)</f>
        <v>74209/001</v>
      </c>
      <c r="D13" s="88" t="str">
        <f>VLOOKUP($B13,COMPOSIÇÃO!$A$10:$K$84,4,FALSE)</f>
        <v>PLACA DE OBRA EM CHAPA DE ACO GALVANIZADO</v>
      </c>
      <c r="E13" s="86" t="str">
        <f>VLOOKUP($B13,COMPOSIÇÃO!$A$10:$K$84,5,FALSE)</f>
        <v>M2</v>
      </c>
      <c r="F13" s="607">
        <v>6</v>
      </c>
      <c r="G13" s="608">
        <f>VLOOKUP($B13,COMPOSIÇÃO!$A$10:$K$84,9,FALSE)</f>
        <v>451.46</v>
      </c>
      <c r="H13" s="608">
        <f>VLOOKUP($B13,COMPOSIÇÃO!$A$10:$K$84,10,FALSE)</f>
        <v>53.129999999999995</v>
      </c>
      <c r="I13" s="608">
        <f t="shared" si="0"/>
        <v>504.59</v>
      </c>
      <c r="J13" s="608">
        <f t="shared" si="1"/>
        <v>630.23</v>
      </c>
      <c r="K13" s="609">
        <f t="shared" si="2"/>
        <v>3781.38</v>
      </c>
    </row>
    <row r="14" spans="1:16" s="92" customFormat="1">
      <c r="A14" s="86" t="s">
        <v>82</v>
      </c>
      <c r="B14" s="86">
        <v>4</v>
      </c>
      <c r="C14" s="87" t="str">
        <f>VLOOKUP($B14,COMPOSIÇÃO!$A$10:$K$391,3,FALSE)</f>
        <v>COMPOSIÇÃO</v>
      </c>
      <c r="D14" s="88" t="s">
        <v>168</v>
      </c>
      <c r="E14" s="86" t="str">
        <f>VLOOKUP($B14,COMPOSIÇÃO!$A$10:$K$399,5,FALSE)</f>
        <v>MES</v>
      </c>
      <c r="F14" s="607">
        <v>3</v>
      </c>
      <c r="G14" s="608">
        <f>VLOOKUP($B14,COMPOSIÇÃO!$A$10:$K$399,9,FALSE)</f>
        <v>188.13</v>
      </c>
      <c r="H14" s="608">
        <f>VLOOKUP($B14,COMPOSIÇÃO!$A$10:$K$399,10,FALSE)</f>
        <v>5219.75</v>
      </c>
      <c r="I14" s="608">
        <f t="shared" si="0"/>
        <v>5407.88</v>
      </c>
      <c r="J14" s="608">
        <f t="shared" si="1"/>
        <v>6754.44</v>
      </c>
      <c r="K14" s="609">
        <f t="shared" ref="K14" si="3">TRUNC((J14)*F14,2)</f>
        <v>20263.32</v>
      </c>
      <c r="O14" s="169">
        <f>K14/3</f>
        <v>6754.44</v>
      </c>
      <c r="P14" s="169"/>
    </row>
    <row r="15" spans="1:16">
      <c r="A15" s="93"/>
      <c r="B15" s="93"/>
      <c r="C15" s="93"/>
      <c r="D15" s="94" t="s">
        <v>71</v>
      </c>
      <c r="E15" s="95"/>
      <c r="F15" s="610"/>
      <c r="G15" s="611"/>
      <c r="H15" s="611"/>
      <c r="I15" s="611"/>
      <c r="J15" s="611"/>
      <c r="K15" s="612">
        <f>TRUNC(SUM(K11:N14),2)</f>
        <v>25509.83</v>
      </c>
      <c r="L15" s="98">
        <f>K15*1.2491</f>
        <v>31864.328653000004</v>
      </c>
      <c r="M15" s="99">
        <f>L15*0.7509</f>
        <v>23926.924385537703</v>
      </c>
      <c r="N15" s="100">
        <f>TRUNC((K15*1.2491),2)</f>
        <v>31864.32</v>
      </c>
    </row>
    <row r="16" spans="1:16">
      <c r="A16" s="93"/>
      <c r="B16" s="93"/>
      <c r="C16" s="93"/>
      <c r="D16" s="94"/>
      <c r="E16" s="95"/>
      <c r="F16" s="610"/>
      <c r="G16" s="611"/>
      <c r="H16" s="611"/>
      <c r="I16" s="611"/>
      <c r="J16" s="611"/>
      <c r="K16" s="612"/>
      <c r="L16" s="98"/>
      <c r="M16" s="99"/>
      <c r="N16" s="100"/>
    </row>
    <row r="17" spans="1:12" s="102" customFormat="1">
      <c r="A17" s="133"/>
      <c r="B17" s="133"/>
      <c r="C17" s="133"/>
      <c r="D17" s="134" t="s">
        <v>185</v>
      </c>
      <c r="E17" s="135"/>
      <c r="F17" s="613"/>
      <c r="G17" s="614"/>
      <c r="H17" s="614"/>
      <c r="I17" s="614"/>
      <c r="J17" s="614"/>
      <c r="K17" s="615"/>
      <c r="L17" s="98"/>
    </row>
    <row r="18" spans="1:12" s="102" customFormat="1">
      <c r="A18" s="80">
        <v>2</v>
      </c>
      <c r="B18" s="80" t="s">
        <v>83</v>
      </c>
      <c r="C18" s="103"/>
      <c r="D18" s="104" t="s">
        <v>280</v>
      </c>
      <c r="E18" s="103"/>
      <c r="F18" s="105"/>
      <c r="G18" s="106"/>
      <c r="H18" s="106"/>
      <c r="I18" s="106"/>
      <c r="J18" s="106"/>
      <c r="K18" s="107"/>
      <c r="L18" s="98"/>
    </row>
    <row r="19" spans="1:12" s="102" customFormat="1">
      <c r="A19" s="80" t="s">
        <v>26</v>
      </c>
      <c r="B19" s="80"/>
      <c r="C19" s="103"/>
      <c r="D19" s="104" t="s">
        <v>92</v>
      </c>
      <c r="E19" s="103"/>
      <c r="F19" s="105"/>
      <c r="G19" s="106"/>
      <c r="H19" s="106"/>
      <c r="I19" s="106"/>
      <c r="J19" s="106"/>
      <c r="K19" s="107"/>
      <c r="L19" s="98"/>
    </row>
    <row r="20" spans="1:12" s="102" customFormat="1" ht="25.5">
      <c r="A20" s="86" t="s">
        <v>95</v>
      </c>
      <c r="B20" s="86">
        <v>5</v>
      </c>
      <c r="C20" s="87" t="str">
        <f>VLOOKUP($B20,COMPOSIÇÃO!$A$10:$K$84,3,FALSE)</f>
        <v xml:space="preserve">COMPOSIÇÃO </v>
      </c>
      <c r="D20" s="136" t="str">
        <f>VLOOKUP($B20,COMPOSIÇÃO!$A$10:$K$84,4,FALSE)</f>
        <v>REMOÇÃO DE LUMINÁRIAS E ACESSÓRIOS EM BRAÇOS DA REDE DE ILUMINAÇÃO PÚBLICA, COM UTILIZAÇÃO DE EQUIPAMENTO MUNCK COM CESTO AÉREO.</v>
      </c>
      <c r="E20" s="86" t="str">
        <f>VLOOKUP($B20,COMPOSIÇÃO!$A$10:$K$84,5,FALSE)</f>
        <v>H</v>
      </c>
      <c r="F20" s="607">
        <v>210</v>
      </c>
      <c r="G20" s="608">
        <f>COMPOSIÇÃO!I36</f>
        <v>31.67</v>
      </c>
      <c r="H20" s="608">
        <f>VLOOKUP($B20,COMPOSIÇÃO!$A$10:$K$84,10,FALSE)</f>
        <v>9.370000000000001</v>
      </c>
      <c r="I20" s="608">
        <f t="shared" ref="I20:I24" si="4">TRUNC((H20+G20),2)</f>
        <v>41.04</v>
      </c>
      <c r="J20" s="608">
        <f t="shared" ref="J20:J25" si="5">TRUNC((I20+I20*$K$4),2)</f>
        <v>51.25</v>
      </c>
      <c r="K20" s="609">
        <f t="shared" ref="K20" si="6">TRUNC((J20)*F20,2)</f>
        <v>10762.5</v>
      </c>
      <c r="L20" s="98"/>
    </row>
    <row r="21" spans="1:12" s="102" customFormat="1" ht="25.5">
      <c r="A21" s="86" t="s">
        <v>96</v>
      </c>
      <c r="B21" s="86">
        <v>6</v>
      </c>
      <c r="C21" s="87">
        <f>VLOOKUP($B21,COMPOSIÇÃO!$A$10:$K$84,3,FALSE)</f>
        <v>91926</v>
      </c>
      <c r="D21" s="136" t="str">
        <f>VLOOKUP($B21,COMPOSIÇÃO!$A$10:$K$84,4,FALSE)</f>
        <v>CABO DE COBRE FLEXÍVEL ISOLADO, 2,5 MM², ANTI-CHAMA 450/750 V, PARA CIRCUITOS TERMINAIS - FORNECIMENTO E INSTALAÇÃO. AF_12/2015.</v>
      </c>
      <c r="E21" s="86" t="str">
        <f>VLOOKUP($B21,COMPOSIÇÃO!$A$10:$K$84,5,FALSE)</f>
        <v>M</v>
      </c>
      <c r="F21" s="607">
        <v>200</v>
      </c>
      <c r="G21" s="608">
        <f>VLOOKUP($B21,COMPOSIÇÃO!$A$10:$K$84,9,FALSE)</f>
        <v>1.57</v>
      </c>
      <c r="H21" s="608">
        <f>VLOOKUP($B21,COMPOSIÇÃO!$A$10:$K$84,10,FALSE)</f>
        <v>1.1099999999999999</v>
      </c>
      <c r="I21" s="608">
        <f t="shared" si="4"/>
        <v>2.68</v>
      </c>
      <c r="J21" s="608">
        <f t="shared" si="5"/>
        <v>3.34</v>
      </c>
      <c r="K21" s="609">
        <f t="shared" ref="K21" si="7">TRUNC((J21)*F21,2)</f>
        <v>668</v>
      </c>
      <c r="L21" s="98"/>
    </row>
    <row r="22" spans="1:12" s="102" customFormat="1" ht="55.5" customHeight="1">
      <c r="A22" s="86" t="s">
        <v>97</v>
      </c>
      <c r="B22" s="86">
        <v>7</v>
      </c>
      <c r="C22" s="87" t="s">
        <v>74</v>
      </c>
      <c r="D22" s="65" t="s">
        <v>279</v>
      </c>
      <c r="E22" s="86" t="s">
        <v>187</v>
      </c>
      <c r="F22" s="607">
        <v>60</v>
      </c>
      <c r="G22" s="608">
        <f>COMPOSIÇÃO!I47</f>
        <v>1069.57</v>
      </c>
      <c r="H22" s="608">
        <f>COMPOSIÇÃO!J47</f>
        <v>57.460000000000008</v>
      </c>
      <c r="I22" s="608">
        <f t="shared" si="4"/>
        <v>1127.03</v>
      </c>
      <c r="J22" s="608">
        <f t="shared" si="5"/>
        <v>1407.66</v>
      </c>
      <c r="K22" s="609">
        <f t="shared" ref="K22" si="8">TRUNC((J22)*F22,2)</f>
        <v>84459.6</v>
      </c>
      <c r="L22" s="98"/>
    </row>
    <row r="23" spans="1:12" s="102" customFormat="1">
      <c r="A23" s="86" t="s">
        <v>540</v>
      </c>
      <c r="B23" s="86">
        <v>8</v>
      </c>
      <c r="C23" s="87" t="s">
        <v>74</v>
      </c>
      <c r="D23" s="136" t="str">
        <f>COMPOSIÇÃO!D53</f>
        <v>FORNECIMENTO E INSTALAÇÃO DE LÂMPADA VAPOR METÁLICO DE 70Watts</v>
      </c>
      <c r="E23" s="86" t="s">
        <v>187</v>
      </c>
      <c r="F23" s="607">
        <v>150</v>
      </c>
      <c r="G23" s="608">
        <f>COMPOSIÇÃO!I53</f>
        <v>17.579999999999998</v>
      </c>
      <c r="H23" s="608">
        <f>COMPOSIÇÃO!J53</f>
        <v>12.7</v>
      </c>
      <c r="I23" s="608">
        <f t="shared" si="4"/>
        <v>30.28</v>
      </c>
      <c r="J23" s="608">
        <f t="shared" si="5"/>
        <v>37.81</v>
      </c>
      <c r="K23" s="609">
        <f>F23*J23</f>
        <v>5671.5</v>
      </c>
      <c r="L23" s="98"/>
    </row>
    <row r="24" spans="1:12" s="102" customFormat="1">
      <c r="A24" s="86" t="s">
        <v>541</v>
      </c>
      <c r="B24" s="86">
        <v>9</v>
      </c>
      <c r="C24" s="87" t="s">
        <v>74</v>
      </c>
      <c r="D24" s="136" t="str">
        <f>COMPOSIÇÃO!D59</f>
        <v>FORNECIMENTO E INSTALAÇÃO DE REATOR EXTERNO  VAPOR METÁLICO DE 70Watts</v>
      </c>
      <c r="E24" s="86" t="s">
        <v>187</v>
      </c>
      <c r="F24" s="607">
        <v>150</v>
      </c>
      <c r="G24" s="608">
        <f>COMPOSIÇÃO!I59</f>
        <v>41.21</v>
      </c>
      <c r="H24" s="608">
        <f>COMPOSIÇÃO!J59</f>
        <v>19.5</v>
      </c>
      <c r="I24" s="608">
        <f t="shared" si="4"/>
        <v>60.71</v>
      </c>
      <c r="J24" s="608">
        <f t="shared" si="5"/>
        <v>75.819999999999993</v>
      </c>
      <c r="K24" s="609">
        <f>F24*J24</f>
        <v>11372.999999999998</v>
      </c>
      <c r="L24" s="98"/>
    </row>
    <row r="25" spans="1:12" s="102" customFormat="1">
      <c r="A25" s="86"/>
      <c r="B25" s="86"/>
      <c r="C25" s="87"/>
      <c r="D25" s="136"/>
      <c r="E25" s="86"/>
      <c r="F25" s="607"/>
      <c r="G25" s="608"/>
      <c r="H25" s="608"/>
      <c r="I25" s="608"/>
      <c r="J25" s="608">
        <f t="shared" si="5"/>
        <v>0</v>
      </c>
      <c r="K25" s="609"/>
      <c r="L25" s="98"/>
    </row>
    <row r="26" spans="1:12" s="102" customFormat="1">
      <c r="A26" s="183"/>
      <c r="B26" s="184"/>
      <c r="C26" s="185"/>
      <c r="D26" s="186" t="s">
        <v>277</v>
      </c>
      <c r="E26" s="184"/>
      <c r="F26" s="616"/>
      <c r="G26" s="617"/>
      <c r="H26" s="617"/>
      <c r="I26" s="617"/>
      <c r="J26" s="617"/>
      <c r="K26" s="618">
        <f>SUM(K20:K25)</f>
        <v>112934.6</v>
      </c>
      <c r="L26" s="98"/>
    </row>
    <row r="27" spans="1:12" s="102" customFormat="1">
      <c r="A27" s="86"/>
      <c r="B27" s="86"/>
      <c r="C27" s="87"/>
      <c r="D27" s="182"/>
      <c r="E27" s="86"/>
      <c r="F27" s="607"/>
      <c r="G27" s="608"/>
      <c r="H27" s="608"/>
      <c r="I27" s="608"/>
      <c r="J27" s="608"/>
      <c r="K27" s="619"/>
      <c r="L27" s="98"/>
    </row>
    <row r="28" spans="1:12" s="102" customFormat="1">
      <c r="A28" s="192"/>
      <c r="B28" s="193"/>
      <c r="C28" s="194"/>
      <c r="D28" s="195" t="s">
        <v>278</v>
      </c>
      <c r="E28" s="193"/>
      <c r="F28" s="620"/>
      <c r="G28" s="621"/>
      <c r="H28" s="621"/>
      <c r="I28" s="621"/>
      <c r="J28" s="621"/>
      <c r="K28" s="622"/>
      <c r="L28" s="98"/>
    </row>
    <row r="29" spans="1:12" s="102" customFormat="1">
      <c r="A29" s="187" t="s">
        <v>281</v>
      </c>
      <c r="B29" s="188"/>
      <c r="C29" s="189"/>
      <c r="D29" s="190" t="s">
        <v>280</v>
      </c>
      <c r="E29" s="188"/>
      <c r="F29" s="623"/>
      <c r="G29" s="624"/>
      <c r="H29" s="624"/>
      <c r="I29" s="624"/>
      <c r="J29" s="624"/>
      <c r="K29" s="625"/>
      <c r="L29" s="98"/>
    </row>
    <row r="30" spans="1:12" s="102" customFormat="1" ht="14.25" customHeight="1">
      <c r="A30" s="187" t="s">
        <v>181</v>
      </c>
      <c r="B30" s="188"/>
      <c r="C30" s="189"/>
      <c r="D30" s="104" t="s">
        <v>282</v>
      </c>
      <c r="E30" s="188"/>
      <c r="F30" s="623"/>
      <c r="G30" s="624"/>
      <c r="H30" s="624"/>
      <c r="I30" s="624"/>
      <c r="J30" s="624"/>
      <c r="K30" s="625"/>
      <c r="L30" s="98"/>
    </row>
    <row r="31" spans="1:12" s="102" customFormat="1" ht="29.25" customHeight="1">
      <c r="A31" s="86" t="s">
        <v>182</v>
      </c>
      <c r="B31" s="86">
        <v>5</v>
      </c>
      <c r="C31" s="87" t="s">
        <v>68</v>
      </c>
      <c r="D31" s="136" t="str">
        <f>D20</f>
        <v>REMOÇÃO DE LUMINÁRIAS E ACESSÓRIOS EM BRAÇOS DA REDE DE ILUMINAÇÃO PÚBLICA, COM UTILIZAÇÃO DE EQUIPAMENTO MUNCK COM CESTO AÉREO.</v>
      </c>
      <c r="E31" s="86" t="s">
        <v>249</v>
      </c>
      <c r="F31" s="607">
        <v>48</v>
      </c>
      <c r="G31" s="608">
        <f>G20</f>
        <v>31.67</v>
      </c>
      <c r="H31" s="608">
        <f>H20</f>
        <v>9.370000000000001</v>
      </c>
      <c r="I31" s="608">
        <f t="shared" ref="I31:I33" si="9">TRUNC((H31+G31),2)</f>
        <v>41.04</v>
      </c>
      <c r="J31" s="608">
        <f t="shared" ref="J31:J33" si="10">TRUNC((I31+I31*$K$4),2)</f>
        <v>51.25</v>
      </c>
      <c r="K31" s="609">
        <f>F31*J31</f>
        <v>2460</v>
      </c>
      <c r="L31" s="98"/>
    </row>
    <row r="32" spans="1:12" s="102" customFormat="1" ht="29.25" customHeight="1">
      <c r="A32" s="86" t="s">
        <v>183</v>
      </c>
      <c r="B32" s="86">
        <v>6</v>
      </c>
      <c r="C32" s="87" t="s">
        <v>68</v>
      </c>
      <c r="D32" s="136" t="str">
        <f>D21</f>
        <v>CABO DE COBRE FLEXÍVEL ISOLADO, 2,5 MM², ANTI-CHAMA 450/750 V, PARA CIRCUITOS TERMINAIS - FORNECIMENTO E INSTALAÇÃO. AF_12/2015.</v>
      </c>
      <c r="E32" s="86" t="s">
        <v>1</v>
      </c>
      <c r="F32" s="607">
        <v>200</v>
      </c>
      <c r="G32" s="608">
        <f>G21</f>
        <v>1.57</v>
      </c>
      <c r="H32" s="608">
        <f>H21</f>
        <v>1.1099999999999999</v>
      </c>
      <c r="I32" s="608">
        <f t="shared" si="9"/>
        <v>2.68</v>
      </c>
      <c r="J32" s="608">
        <f t="shared" si="10"/>
        <v>3.34</v>
      </c>
      <c r="K32" s="609">
        <f t="shared" ref="K32" si="11">TRUNC((J32)*F32,2)</f>
        <v>668</v>
      </c>
      <c r="L32" s="98"/>
    </row>
    <row r="33" spans="1:15" s="102" customFormat="1" ht="54" customHeight="1">
      <c r="A33" s="86" t="s">
        <v>542</v>
      </c>
      <c r="B33" s="86">
        <v>7</v>
      </c>
      <c r="C33" s="87" t="s">
        <v>68</v>
      </c>
      <c r="D33" s="136" t="str">
        <f>D22</f>
        <v>FORNECIMENTO E INSTALAÇÃO DE LUMINÁRIA EM LED PARA ILUMINAÇÃO PÚBLICA,100W,LED AC, LENTES POLICARBONATO,CORPO EM ALUMÍNIO INJ, 220V, FP0,97, PROT. DPS 10KV, IP65, IK10, TEMP. COR 5700K, IRC= OU 70%, V. ÚTIL 50.000H, 110LM/W, LM79, GAR.5 ANOS, MODELO GL316 G-LIGHT OU SIMILAR</v>
      </c>
      <c r="E33" s="86" t="s">
        <v>187</v>
      </c>
      <c r="F33" s="607">
        <v>48</v>
      </c>
      <c r="G33" s="608">
        <f>COMPOSIÇÃO!I47</f>
        <v>1069.57</v>
      </c>
      <c r="H33" s="608">
        <f>COMPOSIÇÃO!J47</f>
        <v>57.460000000000008</v>
      </c>
      <c r="I33" s="608">
        <f t="shared" si="9"/>
        <v>1127.03</v>
      </c>
      <c r="J33" s="608">
        <f t="shared" si="10"/>
        <v>1407.66</v>
      </c>
      <c r="K33" s="609">
        <f t="shared" ref="K33" si="12">TRUNC((J33)*F33,2)</f>
        <v>67567.679999999993</v>
      </c>
      <c r="L33" s="98"/>
    </row>
    <row r="34" spans="1:15" s="102" customFormat="1">
      <c r="A34" s="86"/>
      <c r="B34" s="86"/>
      <c r="C34" s="87"/>
      <c r="D34" s="182"/>
      <c r="E34" s="86"/>
      <c r="F34" s="607"/>
      <c r="G34" s="608"/>
      <c r="H34" s="608"/>
      <c r="I34" s="608"/>
      <c r="J34" s="608"/>
      <c r="K34" s="619"/>
      <c r="L34" s="98"/>
    </row>
    <row r="35" spans="1:15" s="102" customFormat="1">
      <c r="A35" s="183"/>
      <c r="B35" s="184"/>
      <c r="C35" s="185"/>
      <c r="D35" s="186" t="s">
        <v>283</v>
      </c>
      <c r="E35" s="184"/>
      <c r="F35" s="616"/>
      <c r="G35" s="617"/>
      <c r="H35" s="617"/>
      <c r="I35" s="617"/>
      <c r="J35" s="617"/>
      <c r="K35" s="618">
        <f>SUM(K31:K34)</f>
        <v>70695.679999999993</v>
      </c>
      <c r="L35" s="98"/>
    </row>
    <row r="36" spans="1:15" s="102" customFormat="1">
      <c r="A36" s="86"/>
      <c r="B36" s="86"/>
      <c r="C36" s="87"/>
      <c r="D36" s="182"/>
      <c r="E36" s="86"/>
      <c r="F36" s="607"/>
      <c r="G36" s="608"/>
      <c r="H36" s="608"/>
      <c r="I36" s="608"/>
      <c r="J36" s="608"/>
      <c r="K36" s="619"/>
      <c r="L36" s="98"/>
    </row>
    <row r="37" spans="1:15" s="102" customFormat="1">
      <c r="A37" s="80"/>
      <c r="B37" s="80"/>
      <c r="C37" s="103"/>
      <c r="D37" s="104" t="s">
        <v>284</v>
      </c>
      <c r="E37" s="103"/>
      <c r="F37" s="105"/>
      <c r="G37" s="106"/>
      <c r="H37" s="106"/>
      <c r="I37" s="106"/>
      <c r="J37" s="106"/>
      <c r="K37" s="107"/>
      <c r="L37" s="98"/>
    </row>
    <row r="38" spans="1:15" s="102" customFormat="1">
      <c r="A38" s="187" t="s">
        <v>286</v>
      </c>
      <c r="B38" s="188"/>
      <c r="C38" s="189"/>
      <c r="D38" s="190" t="s">
        <v>285</v>
      </c>
      <c r="E38" s="188"/>
      <c r="F38" s="623"/>
      <c r="G38" s="624"/>
      <c r="H38" s="624"/>
      <c r="I38" s="624"/>
      <c r="J38" s="624"/>
      <c r="K38" s="626"/>
      <c r="L38" s="98"/>
      <c r="O38" s="102">
        <f>1029.27*0.3*0.5</f>
        <v>154.3905</v>
      </c>
    </row>
    <row r="39" spans="1:15" s="102" customFormat="1">
      <c r="A39" s="187" t="s">
        <v>287</v>
      </c>
      <c r="B39" s="188"/>
      <c r="C39" s="189"/>
      <c r="D39" s="660" t="s">
        <v>289</v>
      </c>
      <c r="E39" s="660"/>
      <c r="F39" s="623"/>
      <c r="G39" s="624"/>
      <c r="H39" s="624"/>
      <c r="I39" s="624"/>
      <c r="J39" s="624"/>
      <c r="K39" s="626"/>
      <c r="L39" s="98"/>
    </row>
    <row r="40" spans="1:15" s="102" customFormat="1" ht="25.5">
      <c r="A40" s="86" t="s">
        <v>288</v>
      </c>
      <c r="B40" s="86">
        <v>5</v>
      </c>
      <c r="C40" s="87" t="str">
        <f>VLOOKUP($B40,COMPOSIÇÃO!$A$10:$K$84,3,FALSE)</f>
        <v xml:space="preserve">COMPOSIÇÃO </v>
      </c>
      <c r="D40" s="136" t="str">
        <f>VLOOKUP($B40,COMPOSIÇÃO!$A$10:$K$84,4,FALSE)</f>
        <v>REMOÇÃO DE LUMINÁRIAS E ACESSÓRIOS EM BRAÇOS DA REDE DE ILUMINAÇÃO PÚBLICA, COM UTILIZAÇÃO DE EQUIPAMENTO MUNCK COM CESTO AÉREO.</v>
      </c>
      <c r="E40" s="86" t="s">
        <v>249</v>
      </c>
      <c r="F40" s="607">
        <v>22</v>
      </c>
      <c r="G40" s="608">
        <f>G31</f>
        <v>31.67</v>
      </c>
      <c r="H40" s="608">
        <f>VLOOKUP($B40,COMPOSIÇÃO!$A$10:$K$84,10,FALSE)</f>
        <v>9.370000000000001</v>
      </c>
      <c r="I40" s="608">
        <f t="shared" ref="I40:I43" si="13">TRUNC((H40+G40),2)</f>
        <v>41.04</v>
      </c>
      <c r="J40" s="608">
        <f t="shared" ref="J40:J43" si="14">TRUNC((I40+I40*$K$4),2)</f>
        <v>51.25</v>
      </c>
      <c r="K40" s="609">
        <f t="shared" ref="K40:K43" si="15">TRUNC((J40)*F40,2)</f>
        <v>1127.5</v>
      </c>
      <c r="L40" s="98"/>
    </row>
    <row r="41" spans="1:15" s="102" customFormat="1" ht="25.5">
      <c r="A41" s="86" t="s">
        <v>303</v>
      </c>
      <c r="B41" s="86">
        <v>6</v>
      </c>
      <c r="C41" s="87" t="s">
        <v>68</v>
      </c>
      <c r="D41" s="136" t="s">
        <v>90</v>
      </c>
      <c r="E41" s="86" t="s">
        <v>1</v>
      </c>
      <c r="F41" s="607">
        <v>100</v>
      </c>
      <c r="G41" s="608">
        <f>G32</f>
        <v>1.57</v>
      </c>
      <c r="H41" s="608">
        <f>H32</f>
        <v>1.1099999999999999</v>
      </c>
      <c r="I41" s="608">
        <f t="shared" si="13"/>
        <v>2.68</v>
      </c>
      <c r="J41" s="608">
        <f t="shared" si="14"/>
        <v>3.34</v>
      </c>
      <c r="K41" s="609">
        <v>629.49</v>
      </c>
      <c r="L41" s="98"/>
    </row>
    <row r="42" spans="1:15" s="102" customFormat="1">
      <c r="A42" s="86" t="s">
        <v>304</v>
      </c>
      <c r="B42" s="86">
        <v>8</v>
      </c>
      <c r="C42" s="87"/>
      <c r="D42" s="65" t="s">
        <v>290</v>
      </c>
      <c r="E42" s="86" t="s">
        <v>249</v>
      </c>
      <c r="F42" s="607">
        <v>22</v>
      </c>
      <c r="G42" s="608">
        <f>COMPOSIÇÃO!I53</f>
        <v>17.579999999999998</v>
      </c>
      <c r="H42" s="608">
        <f>COMPOSIÇÃO!J53</f>
        <v>12.7</v>
      </c>
      <c r="I42" s="608">
        <f t="shared" si="13"/>
        <v>30.28</v>
      </c>
      <c r="J42" s="608">
        <f t="shared" si="14"/>
        <v>37.81</v>
      </c>
      <c r="K42" s="609">
        <f t="shared" si="15"/>
        <v>831.82</v>
      </c>
      <c r="L42" s="98"/>
    </row>
    <row r="43" spans="1:15" s="102" customFormat="1">
      <c r="A43" s="86" t="s">
        <v>305</v>
      </c>
      <c r="B43" s="86">
        <v>9</v>
      </c>
      <c r="C43" s="87"/>
      <c r="D43" s="136" t="s">
        <v>291</v>
      </c>
      <c r="E43" s="86" t="s">
        <v>249</v>
      </c>
      <c r="F43" s="607">
        <v>22</v>
      </c>
      <c r="G43" s="608">
        <f>COMPOSIÇÃO!I59</f>
        <v>41.21</v>
      </c>
      <c r="H43" s="608">
        <f>COMPOSIÇÃO!J59</f>
        <v>19.5</v>
      </c>
      <c r="I43" s="608">
        <f t="shared" si="13"/>
        <v>60.71</v>
      </c>
      <c r="J43" s="608">
        <f t="shared" si="14"/>
        <v>75.819999999999993</v>
      </c>
      <c r="K43" s="609">
        <f t="shared" si="15"/>
        <v>1668.04</v>
      </c>
      <c r="L43" s="98"/>
    </row>
    <row r="44" spans="1:15" s="102" customFormat="1">
      <c r="A44" s="86"/>
      <c r="B44" s="86"/>
      <c r="C44" s="87"/>
      <c r="D44" s="136"/>
      <c r="E44" s="86"/>
      <c r="F44" s="607"/>
      <c r="G44" s="608"/>
      <c r="H44" s="608"/>
      <c r="I44" s="608"/>
      <c r="J44" s="608"/>
      <c r="K44" s="609"/>
      <c r="L44" s="98"/>
    </row>
    <row r="45" spans="1:15" s="102" customFormat="1" ht="16.5" customHeight="1">
      <c r="A45" s="86"/>
      <c r="B45" s="86"/>
      <c r="C45" s="87"/>
      <c r="D45" s="182" t="s">
        <v>292</v>
      </c>
      <c r="E45" s="196"/>
      <c r="F45" s="627"/>
      <c r="G45" s="628"/>
      <c r="H45" s="628"/>
      <c r="I45" s="628"/>
      <c r="J45" s="628"/>
      <c r="K45" s="619">
        <f>SUM(K40:K44)</f>
        <v>4256.8500000000004</v>
      </c>
      <c r="L45" s="98"/>
    </row>
    <row r="46" spans="1:15" s="102" customFormat="1" ht="16.5" customHeight="1">
      <c r="A46" s="86"/>
      <c r="B46" s="86"/>
      <c r="C46" s="87"/>
      <c r="D46" s="182"/>
      <c r="E46" s="196"/>
      <c r="F46" s="197"/>
      <c r="G46" s="198"/>
      <c r="H46" s="198"/>
      <c r="I46" s="198"/>
      <c r="J46" s="198"/>
      <c r="K46" s="115"/>
      <c r="L46" s="98"/>
    </row>
    <row r="47" spans="1:15" s="102" customFormat="1" ht="16.5" customHeight="1">
      <c r="A47" s="183"/>
      <c r="B47" s="184"/>
      <c r="C47" s="185"/>
      <c r="D47" s="658" t="s">
        <v>298</v>
      </c>
      <c r="E47" s="658"/>
      <c r="F47" s="658"/>
      <c r="G47" s="658"/>
      <c r="H47" s="658"/>
      <c r="I47" s="658"/>
      <c r="J47" s="658"/>
      <c r="K47" s="659"/>
      <c r="L47" s="98"/>
    </row>
    <row r="48" spans="1:15" s="102" customFormat="1" ht="16.5" customHeight="1">
      <c r="A48" s="187" t="s">
        <v>306</v>
      </c>
      <c r="B48" s="188"/>
      <c r="C48" s="189"/>
      <c r="D48" s="190" t="s">
        <v>280</v>
      </c>
      <c r="E48" s="81"/>
      <c r="F48" s="205"/>
      <c r="G48" s="206"/>
      <c r="H48" s="206"/>
      <c r="I48" s="206"/>
      <c r="J48" s="206"/>
      <c r="K48" s="191"/>
      <c r="L48" s="98"/>
    </row>
    <row r="49" spans="1:12" s="102" customFormat="1" ht="16.5" customHeight="1">
      <c r="A49" s="187" t="s">
        <v>307</v>
      </c>
      <c r="B49" s="188"/>
      <c r="C49" s="189"/>
      <c r="D49" s="104" t="s">
        <v>296</v>
      </c>
      <c r="E49" s="81"/>
      <c r="F49" s="205"/>
      <c r="G49" s="206"/>
      <c r="H49" s="206"/>
      <c r="I49" s="206"/>
      <c r="J49" s="206"/>
      <c r="K49" s="191"/>
      <c r="L49" s="98"/>
    </row>
    <row r="50" spans="1:12" s="102" customFormat="1" ht="30" customHeight="1">
      <c r="A50" s="86" t="s">
        <v>308</v>
      </c>
      <c r="B50" s="86">
        <v>5</v>
      </c>
      <c r="C50" s="87" t="s">
        <v>25</v>
      </c>
      <c r="D50" s="136" t="str">
        <f>D40</f>
        <v>REMOÇÃO DE LUMINÁRIAS E ACESSÓRIOS EM BRAÇOS DA REDE DE ILUMINAÇÃO PÚBLICA, COM UTILIZAÇÃO DE EQUIPAMENTO MUNCK COM CESTO AÉREO.</v>
      </c>
      <c r="E50" s="86" t="s">
        <v>190</v>
      </c>
      <c r="F50" s="607">
        <v>637</v>
      </c>
      <c r="G50" s="608">
        <f>G40</f>
        <v>31.67</v>
      </c>
      <c r="H50" s="608">
        <f>H40</f>
        <v>9.370000000000001</v>
      </c>
      <c r="I50" s="608">
        <f t="shared" ref="I50:I52" si="16">TRUNC((H50+G50),2)</f>
        <v>41.04</v>
      </c>
      <c r="J50" s="608">
        <f t="shared" ref="J50:J52" si="17">TRUNC((I50+I50*$K$4),2)</f>
        <v>51.25</v>
      </c>
      <c r="K50" s="609">
        <f t="shared" ref="K50:K52" si="18">TRUNC((J50)*F50,2)</f>
        <v>32646.25</v>
      </c>
      <c r="L50" s="98"/>
    </row>
    <row r="51" spans="1:12" s="102" customFormat="1" ht="30" customHeight="1">
      <c r="A51" s="86" t="s">
        <v>309</v>
      </c>
      <c r="B51" s="86">
        <v>6</v>
      </c>
      <c r="C51" s="87" t="s">
        <v>68</v>
      </c>
      <c r="D51" s="136" t="s">
        <v>90</v>
      </c>
      <c r="E51" s="86" t="s">
        <v>1</v>
      </c>
      <c r="F51" s="607">
        <v>1000</v>
      </c>
      <c r="G51" s="608">
        <f>G41</f>
        <v>1.57</v>
      </c>
      <c r="H51" s="608">
        <f>H41</f>
        <v>1.1099999999999999</v>
      </c>
      <c r="I51" s="608">
        <f t="shared" si="16"/>
        <v>2.68</v>
      </c>
      <c r="J51" s="608">
        <f t="shared" si="17"/>
        <v>3.34</v>
      </c>
      <c r="K51" s="609">
        <v>629.49</v>
      </c>
      <c r="L51" s="98"/>
    </row>
    <row r="52" spans="1:12" s="102" customFormat="1" ht="71.25" customHeight="1">
      <c r="A52" s="86" t="s">
        <v>310</v>
      </c>
      <c r="B52" s="86">
        <v>11</v>
      </c>
      <c r="C52" s="87" t="s">
        <v>25</v>
      </c>
      <c r="D52" s="136" t="str">
        <f>COMPOSIÇÃO!D71</f>
        <v xml:space="preserve">FORNECIMENTO E INSTALAÇÃO  DE LUMINÁRIA EM LED PARA ILUMINAÇÃO PÚBLICA, 40W, BIVOLT, LENTES POLICARBONATO, CORPO EM ALUMÍNIO INJ, FP 0,95, PROT. DPS 10KV, IP66, IK09, TEMP. COR 5000K, IRC= OU 70%, V. ÚTIL 50.000H, 130 LM/W. FLUXO TOTAL MÍNIMO 6.500LM. GAR. 5 ANOS, MODELO GL216 G-LIGHT,  MODELO  LPL Ares III MINI ILUMATIC OU EQUIVALENTE/SIMILAR </v>
      </c>
      <c r="E52" s="86" t="s">
        <v>190</v>
      </c>
      <c r="F52" s="607">
        <v>637</v>
      </c>
      <c r="G52" s="608">
        <f>COMPOSIÇÃO!I71</f>
        <v>652.24</v>
      </c>
      <c r="H52" s="608">
        <f>COMPOSIÇÃO!J71</f>
        <v>57.463499999999996</v>
      </c>
      <c r="I52" s="608">
        <f t="shared" si="16"/>
        <v>709.7</v>
      </c>
      <c r="J52" s="608">
        <f t="shared" si="17"/>
        <v>886.41</v>
      </c>
      <c r="K52" s="609">
        <f t="shared" si="18"/>
        <v>564643.17000000004</v>
      </c>
      <c r="L52" s="98"/>
    </row>
    <row r="53" spans="1:12" s="102" customFormat="1" ht="16.5" customHeight="1">
      <c r="A53" s="86"/>
      <c r="B53" s="86"/>
      <c r="C53" s="87"/>
      <c r="D53" s="182"/>
      <c r="E53" s="196"/>
      <c r="F53" s="627"/>
      <c r="G53" s="628"/>
      <c r="H53" s="628"/>
      <c r="I53" s="628"/>
      <c r="J53" s="628"/>
      <c r="K53" s="619"/>
      <c r="L53" s="98"/>
    </row>
    <row r="54" spans="1:12" s="102" customFormat="1" ht="16.5" customHeight="1">
      <c r="A54" s="86"/>
      <c r="B54" s="86"/>
      <c r="C54" s="87"/>
      <c r="D54" s="182" t="s">
        <v>297</v>
      </c>
      <c r="E54" s="196"/>
      <c r="F54" s="627"/>
      <c r="G54" s="628"/>
      <c r="H54" s="628"/>
      <c r="I54" s="628"/>
      <c r="J54" s="628"/>
      <c r="K54" s="619">
        <f>SUM(K50:K53)</f>
        <v>597918.91</v>
      </c>
      <c r="L54" s="98"/>
    </row>
    <row r="55" spans="1:12" s="102" customFormat="1" ht="16.5" customHeight="1">
      <c r="A55" s="86"/>
      <c r="B55" s="86"/>
      <c r="C55" s="87"/>
      <c r="D55" s="182"/>
      <c r="E55" s="196"/>
      <c r="F55" s="627"/>
      <c r="G55" s="628"/>
      <c r="H55" s="628"/>
      <c r="I55" s="628"/>
      <c r="J55" s="628"/>
      <c r="K55" s="619"/>
      <c r="L55" s="98"/>
    </row>
    <row r="56" spans="1:12" s="102" customFormat="1" ht="16.5" customHeight="1">
      <c r="A56" s="187"/>
      <c r="B56" s="188"/>
      <c r="C56" s="189"/>
      <c r="D56" s="190" t="s">
        <v>299</v>
      </c>
      <c r="E56" s="81"/>
      <c r="F56" s="629"/>
      <c r="G56" s="630"/>
      <c r="H56" s="630"/>
      <c r="I56" s="630"/>
      <c r="J56" s="630"/>
      <c r="K56" s="625"/>
      <c r="L56" s="98"/>
    </row>
    <row r="57" spans="1:12" s="102" customFormat="1" ht="16.5" customHeight="1">
      <c r="A57" s="187">
        <v>6</v>
      </c>
      <c r="B57" s="188"/>
      <c r="C57" s="189"/>
      <c r="D57" s="190" t="s">
        <v>280</v>
      </c>
      <c r="E57" s="81"/>
      <c r="F57" s="629"/>
      <c r="G57" s="630"/>
      <c r="H57" s="630"/>
      <c r="I57" s="630"/>
      <c r="J57" s="630"/>
      <c r="K57" s="625"/>
      <c r="L57" s="98"/>
    </row>
    <row r="58" spans="1:12" s="102" customFormat="1" ht="16.5" customHeight="1">
      <c r="A58" s="183" t="s">
        <v>311</v>
      </c>
      <c r="B58" s="184"/>
      <c r="C58" s="185"/>
      <c r="D58" s="204" t="s">
        <v>300</v>
      </c>
      <c r="E58" s="207"/>
      <c r="F58" s="631"/>
      <c r="G58" s="632"/>
      <c r="H58" s="632"/>
      <c r="I58" s="632"/>
      <c r="J58" s="632"/>
      <c r="K58" s="618"/>
      <c r="L58" s="98"/>
    </row>
    <row r="59" spans="1:12" s="102" customFormat="1" ht="32.25" customHeight="1">
      <c r="A59" s="86" t="s">
        <v>543</v>
      </c>
      <c r="B59" s="86">
        <v>5</v>
      </c>
      <c r="C59" s="87" t="s">
        <v>25</v>
      </c>
      <c r="D59" s="136" t="str">
        <f>D50</f>
        <v>REMOÇÃO DE LUMINÁRIAS E ACESSÓRIOS EM BRAÇOS DA REDE DE ILUMINAÇÃO PÚBLICA, COM UTILIZAÇÃO DE EQUIPAMENTO MUNCK COM CESTO AÉREO.</v>
      </c>
      <c r="E59" s="86" t="s">
        <v>190</v>
      </c>
      <c r="F59" s="607">
        <v>56</v>
      </c>
      <c r="G59" s="608">
        <f>G50</f>
        <v>31.67</v>
      </c>
      <c r="H59" s="608">
        <f>H50</f>
        <v>9.370000000000001</v>
      </c>
      <c r="I59" s="608">
        <f t="shared" ref="I59:I61" si="19">TRUNC((H59+G59),2)</f>
        <v>41.04</v>
      </c>
      <c r="J59" s="608">
        <f t="shared" ref="J59:J61" si="20">TRUNC((I59+I59*$K$4),2)</f>
        <v>51.25</v>
      </c>
      <c r="K59" s="609">
        <f t="shared" ref="K59:K61" si="21">TRUNC((J59)*F59,2)</f>
        <v>2870</v>
      </c>
      <c r="L59" s="98"/>
    </row>
    <row r="60" spans="1:12" s="102" customFormat="1" ht="32.25" customHeight="1">
      <c r="A60" s="86" t="s">
        <v>544</v>
      </c>
      <c r="B60" s="86">
        <v>6</v>
      </c>
      <c r="C60" s="87" t="s">
        <v>68</v>
      </c>
      <c r="D60" s="136" t="s">
        <v>90</v>
      </c>
      <c r="E60" s="86" t="s">
        <v>1</v>
      </c>
      <c r="F60" s="607">
        <v>300</v>
      </c>
      <c r="G60" s="608">
        <f>G51</f>
        <v>1.57</v>
      </c>
      <c r="H60" s="608">
        <f>H51</f>
        <v>1.1099999999999999</v>
      </c>
      <c r="I60" s="608">
        <f t="shared" si="19"/>
        <v>2.68</v>
      </c>
      <c r="J60" s="608">
        <f t="shared" si="20"/>
        <v>3.34</v>
      </c>
      <c r="K60" s="609">
        <v>629.49</v>
      </c>
      <c r="L60" s="98"/>
    </row>
    <row r="61" spans="1:12" s="102" customFormat="1" ht="113.25" customHeight="1">
      <c r="A61" s="86" t="s">
        <v>545</v>
      </c>
      <c r="B61" s="212">
        <v>10</v>
      </c>
      <c r="C61" s="213" t="s">
        <v>25</v>
      </c>
      <c r="D61" s="136" t="str">
        <f>COMPOSIÇÃO!D65</f>
        <v>LUMINARIA DE LED PARA ILUMINACAO PÚBLICA, COM POTÊNCIA DE CONSUMO DE 150W E EFICIÊNCIA 110LM/W, FLUXO TOTAL MÍNIMO 16.500LM,  TEMPERATURA DE COR= 5000K +/- 400K, IRC&gt;70, TENSÃO DE ALIMENTAÇÃO ~90 A 277V E DISPOSITIVO DE PROTEÇÃO CONTRA DESCARGAS ATMOSFÉRICA-DPS, IP-66,  MODELO MAESTRA DA ILUMATIC, STREET LIGHTING GREENVISION BRP373 DA  PHILIPS, LEDVANCE®SKY DA OSRAM OU EQUIVALENTE - FORNECIMENTO E INSTALAÇÃO (OBS.: DEVERÃO SER OBSERVADOS OS REQUISITOS MÍNIMOS, CONFORME TERMO DE REFERÊNCIA DAS LUMINÁRIAS, CONSTANTES NO MEMORIAL DESCRITIVO).</v>
      </c>
      <c r="E61" s="212" t="s">
        <v>190</v>
      </c>
      <c r="F61" s="607">
        <v>56</v>
      </c>
      <c r="G61" s="608">
        <f>COMPOSIÇÃO!I65</f>
        <v>1215.25</v>
      </c>
      <c r="H61" s="608">
        <f>COMPOSIÇÃO!J65</f>
        <v>57.460000000000008</v>
      </c>
      <c r="I61" s="608">
        <f t="shared" si="19"/>
        <v>1272.71</v>
      </c>
      <c r="K61" s="609">
        <f>TRUNC((J62)*F61,2)</f>
        <v>89018.16</v>
      </c>
      <c r="L61" s="98"/>
    </row>
    <row r="62" spans="1:12" s="102" customFormat="1" ht="16.5" customHeight="1">
      <c r="A62" s="86"/>
      <c r="B62" s="86"/>
      <c r="C62" s="87"/>
      <c r="D62" s="182" t="s">
        <v>302</v>
      </c>
      <c r="E62" s="196"/>
      <c r="F62" s="627"/>
      <c r="G62" s="628"/>
      <c r="H62" s="628"/>
      <c r="I62" s="628"/>
      <c r="J62" s="608">
        <f>TRUNC((I61+I61*$K$4),2)</f>
        <v>1589.61</v>
      </c>
      <c r="K62" s="619">
        <f>SUM(K59:K61)</f>
        <v>92517.650000000009</v>
      </c>
      <c r="L62" s="98"/>
    </row>
    <row r="63" spans="1:12" s="102" customFormat="1" ht="16.5" customHeight="1">
      <c r="A63" s="86"/>
      <c r="B63" s="86"/>
      <c r="C63" s="87"/>
      <c r="D63" s="182"/>
      <c r="E63" s="196"/>
      <c r="F63" s="627"/>
      <c r="G63" s="628"/>
      <c r="H63" s="628"/>
      <c r="I63" s="628"/>
      <c r="J63" s="628"/>
      <c r="K63" s="619"/>
      <c r="L63" s="98"/>
    </row>
    <row r="64" spans="1:12" s="102" customFormat="1" ht="16.5" customHeight="1">
      <c r="A64" s="183"/>
      <c r="B64" s="184"/>
      <c r="C64" s="185"/>
      <c r="D64" s="186" t="s">
        <v>316</v>
      </c>
      <c r="E64" s="207"/>
      <c r="F64" s="631"/>
      <c r="G64" s="632"/>
      <c r="H64" s="632"/>
      <c r="I64" s="632"/>
      <c r="J64" s="632"/>
      <c r="K64" s="618"/>
      <c r="L64" s="98"/>
    </row>
    <row r="65" spans="1:16" s="102" customFormat="1" ht="16.5" customHeight="1">
      <c r="A65" s="183">
        <v>7</v>
      </c>
      <c r="B65" s="184"/>
      <c r="C65" s="185"/>
      <c r="D65" s="186" t="s">
        <v>280</v>
      </c>
      <c r="E65" s="207"/>
      <c r="F65" s="631"/>
      <c r="G65" s="632"/>
      <c r="H65" s="632"/>
      <c r="I65" s="632"/>
      <c r="J65" s="632"/>
      <c r="K65" s="618"/>
      <c r="L65" s="98"/>
    </row>
    <row r="66" spans="1:16" s="102" customFormat="1" ht="16.5" customHeight="1">
      <c r="A66" s="86" t="s">
        <v>321</v>
      </c>
      <c r="B66" s="196">
        <v>12</v>
      </c>
      <c r="C66" s="87" t="s">
        <v>68</v>
      </c>
      <c r="D66" s="182" t="s">
        <v>317</v>
      </c>
      <c r="E66" s="196"/>
      <c r="F66" s="627"/>
      <c r="G66" s="628"/>
      <c r="H66" s="628"/>
      <c r="I66" s="628"/>
      <c r="J66" s="628"/>
      <c r="K66" s="619"/>
      <c r="L66" s="98"/>
    </row>
    <row r="67" spans="1:16" s="102" customFormat="1" ht="32.25" customHeight="1">
      <c r="A67" s="86"/>
      <c r="B67" s="86"/>
      <c r="C67" s="87"/>
      <c r="D67" s="122" t="s">
        <v>312</v>
      </c>
      <c r="E67" s="212" t="s">
        <v>318</v>
      </c>
      <c r="F67" s="607">
        <v>180</v>
      </c>
      <c r="G67" s="608">
        <f>COMPOSIÇÃO!I77</f>
        <v>171.7</v>
      </c>
      <c r="H67" s="608">
        <f>COMPOSIÇÃO!J77</f>
        <v>100.86</v>
      </c>
      <c r="I67" s="608">
        <f>TRUNC((H67+G67),2)</f>
        <v>272.56</v>
      </c>
      <c r="J67" s="608">
        <f>TRUNC((I67+I67*$K$4),2)</f>
        <v>340.42</v>
      </c>
      <c r="K67" s="609">
        <f t="shared" ref="K67" si="22">TRUNC((J67)*F67,2)</f>
        <v>61275.6</v>
      </c>
      <c r="L67" s="98"/>
    </row>
    <row r="68" spans="1:16" s="102" customFormat="1" ht="16.5" customHeight="1">
      <c r="A68" s="86"/>
      <c r="B68" s="86"/>
      <c r="C68" s="87"/>
      <c r="D68" s="182"/>
      <c r="E68" s="196"/>
      <c r="F68" s="627"/>
      <c r="G68" s="628"/>
      <c r="H68" s="628"/>
      <c r="I68" s="628"/>
      <c r="J68" s="628"/>
      <c r="K68" s="619"/>
      <c r="L68" s="98"/>
    </row>
    <row r="69" spans="1:16" s="102" customFormat="1">
      <c r="A69" s="196"/>
      <c r="B69" s="196"/>
      <c r="C69" s="215"/>
      <c r="D69" s="182" t="s">
        <v>319</v>
      </c>
      <c r="E69" s="196"/>
      <c r="F69" s="627"/>
      <c r="G69" s="628"/>
      <c r="H69" s="628"/>
      <c r="I69" s="628"/>
      <c r="J69" s="628"/>
      <c r="K69" s="619">
        <f>SUM(K67)</f>
        <v>61275.6</v>
      </c>
      <c r="L69" s="216"/>
      <c r="P69" s="294"/>
    </row>
    <row r="70" spans="1:16" s="102" customFormat="1">
      <c r="A70" s="196"/>
      <c r="B70" s="196"/>
      <c r="C70" s="215"/>
      <c r="D70" s="182"/>
      <c r="E70" s="196"/>
      <c r="F70" s="627"/>
      <c r="G70" s="628"/>
      <c r="H70" s="628"/>
      <c r="I70" s="628"/>
      <c r="J70" s="628"/>
      <c r="K70" s="619"/>
      <c r="L70" s="216"/>
    </row>
    <row r="71" spans="1:16" s="102" customFormat="1">
      <c r="A71" s="196"/>
      <c r="B71" s="196"/>
      <c r="C71" s="215"/>
      <c r="D71" s="182" t="s">
        <v>327</v>
      </c>
      <c r="E71" s="196"/>
      <c r="F71" s="627"/>
      <c r="G71" s="628"/>
      <c r="H71" s="628"/>
      <c r="I71" s="628"/>
      <c r="J71" s="628"/>
      <c r="K71" s="619"/>
      <c r="L71" s="216"/>
    </row>
    <row r="72" spans="1:16" s="102" customFormat="1">
      <c r="A72" s="86" t="s">
        <v>329</v>
      </c>
      <c r="B72" s="86">
        <v>13</v>
      </c>
      <c r="C72" s="87" t="s">
        <v>331</v>
      </c>
      <c r="D72" s="136" t="str">
        <f>COMPOSIÇÃO!D89</f>
        <v>BASE PARA RELE</v>
      </c>
      <c r="E72" s="86" t="s">
        <v>249</v>
      </c>
      <c r="F72" s="607">
        <v>800</v>
      </c>
      <c r="G72" s="608">
        <f>COMPOSIÇÃO!I86</f>
        <v>7.65</v>
      </c>
      <c r="H72" s="608">
        <f>COMPOSIÇÃO!J86</f>
        <v>1.86</v>
      </c>
      <c r="I72" s="608">
        <f>TRUNC((H72+G72),2)</f>
        <v>9.51</v>
      </c>
      <c r="J72" s="608">
        <f>TRUNC((I72+I72*$K$4),2)</f>
        <v>11.87</v>
      </c>
      <c r="K72" s="609">
        <f t="shared" ref="K72" si="23">TRUNC((J72)*F72,2)</f>
        <v>9496</v>
      </c>
      <c r="L72" s="98"/>
    </row>
    <row r="73" spans="1:16" s="102" customFormat="1">
      <c r="A73" s="196"/>
      <c r="B73" s="196"/>
      <c r="C73" s="215"/>
      <c r="D73" s="182" t="s">
        <v>323</v>
      </c>
      <c r="E73" s="196"/>
      <c r="F73" s="627"/>
      <c r="G73" s="628"/>
      <c r="H73" s="628"/>
      <c r="I73" s="628"/>
      <c r="J73" s="628"/>
      <c r="K73" s="619">
        <f>K72</f>
        <v>9496</v>
      </c>
      <c r="L73" s="216"/>
      <c r="P73" s="294"/>
    </row>
    <row r="74" spans="1:16" s="102" customFormat="1">
      <c r="A74" s="196"/>
      <c r="B74" s="196"/>
      <c r="C74" s="215"/>
      <c r="D74" s="182"/>
      <c r="E74" s="196"/>
      <c r="F74" s="627"/>
      <c r="G74" s="628"/>
      <c r="H74" s="628"/>
      <c r="I74" s="628"/>
      <c r="J74" s="628"/>
      <c r="K74" s="619"/>
      <c r="L74" s="216"/>
    </row>
    <row r="75" spans="1:16" s="102" customFormat="1">
      <c r="A75" s="86"/>
      <c r="B75" s="86"/>
      <c r="C75" s="87"/>
      <c r="D75" s="182" t="s">
        <v>280</v>
      </c>
      <c r="E75" s="86"/>
      <c r="F75" s="607"/>
      <c r="G75" s="608"/>
      <c r="H75" s="608"/>
      <c r="I75" s="608"/>
      <c r="J75" s="608"/>
      <c r="K75" s="609"/>
      <c r="L75" s="98"/>
    </row>
    <row r="76" spans="1:16" s="102" customFormat="1" ht="25.5">
      <c r="A76" s="86"/>
      <c r="B76" s="86"/>
      <c r="C76" s="87"/>
      <c r="D76" s="182" t="str">
        <f>COMPOSIÇÃO!D92</f>
        <v>RELE FOTOELETRICO P/ COMANDO DE ILUMINACAO EXTERNA 220V/1000W  - FORNECIMENTO E INSTALACAO</v>
      </c>
      <c r="E76" s="86"/>
      <c r="F76" s="607"/>
      <c r="G76" s="608"/>
      <c r="H76" s="608"/>
      <c r="I76" s="608"/>
      <c r="J76" s="608"/>
      <c r="K76" s="609"/>
      <c r="L76" s="98"/>
    </row>
    <row r="77" spans="1:16" s="102" customFormat="1">
      <c r="A77" s="86" t="s">
        <v>330</v>
      </c>
      <c r="B77" s="86">
        <v>14</v>
      </c>
      <c r="C77" s="87" t="s">
        <v>68</v>
      </c>
      <c r="D77" s="136" t="str">
        <f>COMPOSIÇÃO!D95</f>
        <v>RELE FOTOELETRICO/ELETRÔNICO 1000W/220V SEM BASE</v>
      </c>
      <c r="E77" s="86" t="str">
        <f>VLOOKUP($B77,COMPOSIÇÃO!$A$10:$K$310,5,FALSE)</f>
        <v>UN</v>
      </c>
      <c r="F77" s="607">
        <v>800</v>
      </c>
      <c r="G77" s="608">
        <f>COMPOSIÇÃO!I92</f>
        <v>16.66</v>
      </c>
      <c r="H77" s="608">
        <f>COMPOSIÇÃO!J92</f>
        <v>1.87</v>
      </c>
      <c r="I77" s="608">
        <f>TRUNC((H77+G77),2)</f>
        <v>18.53</v>
      </c>
      <c r="J77" s="608">
        <f>TRUNC((I77+I77*$K$4),2)</f>
        <v>23.14</v>
      </c>
      <c r="K77" s="609">
        <f t="shared" ref="K77" si="24">TRUNC((J77)*F77,2)</f>
        <v>18512</v>
      </c>
      <c r="L77" s="98"/>
    </row>
    <row r="78" spans="1:16" s="102" customFormat="1">
      <c r="A78" s="196"/>
      <c r="B78" s="86"/>
      <c r="C78" s="87"/>
      <c r="D78" s="136"/>
      <c r="E78" s="86"/>
      <c r="F78" s="607"/>
      <c r="G78" s="608"/>
      <c r="H78" s="608"/>
      <c r="I78" s="608"/>
      <c r="J78" s="608"/>
      <c r="K78" s="609"/>
      <c r="L78" s="98"/>
    </row>
    <row r="79" spans="1:16" s="102" customFormat="1">
      <c r="A79" s="109"/>
      <c r="B79" s="109"/>
      <c r="C79" s="109"/>
      <c r="D79" s="110" t="s">
        <v>324</v>
      </c>
      <c r="E79" s="111"/>
      <c r="F79" s="633"/>
      <c r="G79" s="634"/>
      <c r="H79" s="635"/>
      <c r="I79" s="635"/>
      <c r="J79" s="635"/>
      <c r="K79" s="636">
        <f>SUM(K76:K78)</f>
        <v>18512</v>
      </c>
      <c r="L79" s="98"/>
      <c r="P79" s="294"/>
    </row>
    <row r="80" spans="1:16" s="102" customFormat="1">
      <c r="A80" s="86"/>
      <c r="B80" s="86"/>
      <c r="C80" s="87"/>
      <c r="D80" s="136"/>
      <c r="E80" s="86"/>
      <c r="F80" s="607"/>
      <c r="G80" s="608"/>
      <c r="H80" s="608"/>
      <c r="I80" s="608"/>
      <c r="J80" s="608"/>
      <c r="K80" s="609"/>
      <c r="L80" s="98"/>
    </row>
    <row r="81" spans="1:16" s="102" customFormat="1" ht="27" customHeight="1">
      <c r="A81" s="196"/>
      <c r="B81" s="196"/>
      <c r="C81" s="215"/>
      <c r="D81" s="182" t="str">
        <f>COMPOSIÇÃO!D98</f>
        <v>SUPORTE DE 2 PÉTALAS PARA INSTALAÇÃO DE LUMINÁRIAS EM TOPO DE POSTE DE CONCRETO DIANMETRO = 114,30MM - FORNECIMENTO E INSTALAÇÃO</v>
      </c>
      <c r="E81" s="196"/>
      <c r="F81" s="627"/>
      <c r="G81" s="628"/>
      <c r="H81" s="628"/>
      <c r="I81" s="628"/>
      <c r="J81" s="628"/>
      <c r="K81" s="619"/>
      <c r="L81" s="216"/>
    </row>
    <row r="82" spans="1:16" s="102" customFormat="1" ht="25.5" customHeight="1">
      <c r="A82" s="86" t="s">
        <v>546</v>
      </c>
      <c r="B82" s="86">
        <v>15</v>
      </c>
      <c r="C82" s="87" t="s">
        <v>68</v>
      </c>
      <c r="D82" s="136" t="str">
        <f>COMPOSIÇÃO!D101</f>
        <v>SUPORTE DE 2 PÉTALAS PARA INSTALAÇÃO DE LUMINÁRIAS EM TOPO DE POSTE DE CONCRETO  DIANMETRO = 114,30MM.</v>
      </c>
      <c r="E82" s="86" t="s">
        <v>249</v>
      </c>
      <c r="F82" s="607">
        <v>28</v>
      </c>
      <c r="G82" s="608">
        <f>COMPOSIÇÃO!I98</f>
        <v>227.16</v>
      </c>
      <c r="H82" s="608">
        <f>COMPOSIÇÃO!J98</f>
        <v>7.47</v>
      </c>
      <c r="I82" s="608">
        <f>TRUNC((H82+G82),2)</f>
        <v>234.63</v>
      </c>
      <c r="J82" s="608">
        <f>TRUNC((I82+I82*$K$4),2)</f>
        <v>293.05</v>
      </c>
      <c r="K82" s="609">
        <f t="shared" ref="K82" si="25">TRUNC((J82)*F82,2)</f>
        <v>8205.4</v>
      </c>
      <c r="L82" s="98"/>
    </row>
    <row r="83" spans="1:16" s="102" customFormat="1">
      <c r="A83" s="86"/>
      <c r="B83" s="86"/>
      <c r="C83" s="87"/>
      <c r="D83" s="136"/>
      <c r="E83" s="86"/>
      <c r="F83" s="607"/>
      <c r="G83" s="608"/>
      <c r="H83" s="608"/>
      <c r="I83" s="608"/>
      <c r="J83" s="608"/>
      <c r="K83" s="609"/>
      <c r="L83" s="98"/>
    </row>
    <row r="84" spans="1:16" s="102" customFormat="1">
      <c r="A84" s="196"/>
      <c r="B84" s="196"/>
      <c r="C84" s="215"/>
      <c r="D84" s="182" t="s">
        <v>334</v>
      </c>
      <c r="E84" s="196"/>
      <c r="F84" s="627"/>
      <c r="G84" s="628"/>
      <c r="H84" s="628"/>
      <c r="I84" s="628"/>
      <c r="J84" s="628"/>
      <c r="K84" s="619">
        <f>K82</f>
        <v>8205.4</v>
      </c>
      <c r="L84" s="216"/>
      <c r="P84" s="294"/>
    </row>
    <row r="85" spans="1:16" s="102" customFormat="1">
      <c r="A85" s="86"/>
      <c r="B85" s="86"/>
      <c r="C85" s="87"/>
      <c r="D85" s="136"/>
      <c r="E85" s="86"/>
      <c r="F85" s="607"/>
      <c r="G85" s="608"/>
      <c r="H85" s="608"/>
      <c r="I85" s="608"/>
      <c r="J85" s="608"/>
      <c r="K85" s="609"/>
      <c r="L85" s="98"/>
    </row>
    <row r="86" spans="1:16" s="102" customFormat="1" ht="24.75" customHeight="1">
      <c r="A86" s="86"/>
      <c r="B86" s="86"/>
      <c r="C86" s="87"/>
      <c r="D86" s="182" t="str">
        <f>COMPOSIÇÃO!D104</f>
        <v>FITA ISOLANTE DE BORRACHA AUTOFUSAO, USO ATE 69 KV (ALTA TENSAO) - FORNECIMENTO E APLICAÇÃO</v>
      </c>
      <c r="E86" s="86"/>
      <c r="F86" s="607"/>
      <c r="G86" s="608"/>
      <c r="H86" s="608"/>
      <c r="I86" s="608"/>
      <c r="J86" s="608"/>
      <c r="K86" s="609"/>
      <c r="L86" s="98"/>
    </row>
    <row r="87" spans="1:16" s="102" customFormat="1" ht="22.5" customHeight="1">
      <c r="A87" s="86" t="s">
        <v>332</v>
      </c>
      <c r="B87" s="86">
        <v>16</v>
      </c>
      <c r="C87" s="87" t="s">
        <v>68</v>
      </c>
      <c r="D87" s="136" t="str">
        <f>COMPOSIÇÃO!D105</f>
        <v>FITA ISOLANTE DE BORRACHA AUTOFUSAO, USO ATE 69 KV (ALTA TENSAO)</v>
      </c>
      <c r="E87" s="86" t="s">
        <v>1</v>
      </c>
      <c r="F87" s="607">
        <v>50</v>
      </c>
      <c r="G87" s="608">
        <f>COMPOSIÇÃO!I104</f>
        <v>1.36</v>
      </c>
      <c r="H87" s="608">
        <f>COMPOSIÇÃO!J104</f>
        <v>0.92</v>
      </c>
      <c r="I87" s="608">
        <f>TRUNC((H87+G87),2)</f>
        <v>2.2799999999999998</v>
      </c>
      <c r="J87" s="608">
        <f>TRUNC((I87+I87*$K$4),2)</f>
        <v>2.84</v>
      </c>
      <c r="K87" s="609">
        <f t="shared" ref="K87" si="26">TRUNC((J87)*F87,2)</f>
        <v>142</v>
      </c>
      <c r="L87" s="98"/>
    </row>
    <row r="88" spans="1:16" s="102" customFormat="1">
      <c r="A88" s="196"/>
      <c r="B88" s="196"/>
      <c r="C88" s="215"/>
      <c r="D88" s="182" t="s">
        <v>336</v>
      </c>
      <c r="E88" s="196"/>
      <c r="F88" s="627"/>
      <c r="G88" s="628"/>
      <c r="H88" s="628"/>
      <c r="I88" s="628"/>
      <c r="J88" s="628"/>
      <c r="K88" s="619">
        <f>K87</f>
        <v>142</v>
      </c>
      <c r="L88" s="216"/>
      <c r="P88" s="294"/>
    </row>
    <row r="89" spans="1:16" s="102" customFormat="1">
      <c r="A89" s="86"/>
      <c r="B89" s="86"/>
      <c r="C89" s="87"/>
      <c r="D89" s="136"/>
      <c r="E89" s="86"/>
      <c r="F89" s="607"/>
      <c r="G89" s="608"/>
      <c r="H89" s="608"/>
      <c r="I89" s="608"/>
      <c r="J89" s="608"/>
      <c r="K89" s="609"/>
      <c r="L89" s="98"/>
    </row>
    <row r="90" spans="1:16" s="102" customFormat="1" ht="28.5" customHeight="1">
      <c r="A90" s="86"/>
      <c r="B90" s="86"/>
      <c r="C90" s="87"/>
      <c r="D90" s="136" t="str">
        <f>COMPOSIÇÃO!D110</f>
        <v>FITA ISOLANTE ADESIVA ANTICHAMA, USO ATE 750 V, EM ROLO DE 19 MM X 20 M - FORNECIMENTO E APLICAÇÃO</v>
      </c>
      <c r="E90" s="86"/>
      <c r="F90" s="607"/>
      <c r="G90" s="608"/>
      <c r="H90" s="608"/>
      <c r="I90" s="608"/>
      <c r="J90" s="608"/>
      <c r="K90" s="609"/>
      <c r="L90" s="98"/>
    </row>
    <row r="91" spans="1:16" s="102" customFormat="1">
      <c r="A91" s="86" t="s">
        <v>335</v>
      </c>
      <c r="B91" s="86">
        <v>17</v>
      </c>
      <c r="C91" s="87" t="s">
        <v>68</v>
      </c>
      <c r="D91" s="136" t="str">
        <f>COMPOSIÇÃO!D111</f>
        <v>FITA ISOLANTE COMUM</v>
      </c>
      <c r="E91" s="86" t="s">
        <v>190</v>
      </c>
      <c r="F91" s="607">
        <v>20</v>
      </c>
      <c r="G91" s="608">
        <f>COMPOSIÇÃO!I110</f>
        <v>10</v>
      </c>
      <c r="H91" s="608">
        <f>COMPOSIÇÃO!J110</f>
        <v>0.92</v>
      </c>
      <c r="I91" s="608">
        <f>TRUNC((H91+G91),2)</f>
        <v>10.92</v>
      </c>
      <c r="J91" s="608">
        <f>TRUNC((I91+I91*$K$4),2)</f>
        <v>13.63</v>
      </c>
      <c r="K91" s="609">
        <f t="shared" ref="K91" si="27">TRUNC((J91)*F91,2)</f>
        <v>272.60000000000002</v>
      </c>
      <c r="L91" s="98"/>
    </row>
    <row r="92" spans="1:16" s="102" customFormat="1">
      <c r="A92" s="86"/>
      <c r="B92" s="86"/>
      <c r="C92" s="87"/>
      <c r="D92" s="136"/>
      <c r="E92" s="86"/>
      <c r="F92" s="607"/>
      <c r="G92" s="608"/>
      <c r="H92" s="608"/>
      <c r="I92" s="608"/>
      <c r="J92" s="608"/>
      <c r="K92" s="609"/>
      <c r="L92" s="98"/>
    </row>
    <row r="93" spans="1:16" s="102" customFormat="1">
      <c r="A93" s="196"/>
      <c r="B93" s="196"/>
      <c r="C93" s="215"/>
      <c r="D93" s="182" t="s">
        <v>338</v>
      </c>
      <c r="E93" s="196"/>
      <c r="F93" s="627"/>
      <c r="G93" s="628"/>
      <c r="H93" s="628"/>
      <c r="I93" s="628"/>
      <c r="J93" s="628"/>
      <c r="K93" s="619">
        <f>K91</f>
        <v>272.60000000000002</v>
      </c>
      <c r="L93" s="216"/>
      <c r="P93" s="294"/>
    </row>
    <row r="94" spans="1:16" s="102" customFormat="1">
      <c r="A94" s="86"/>
      <c r="B94" s="86"/>
      <c r="C94" s="87"/>
      <c r="D94" s="136"/>
      <c r="E94" s="86"/>
      <c r="F94" s="607"/>
      <c r="G94" s="608"/>
      <c r="H94" s="608"/>
      <c r="I94" s="608"/>
      <c r="J94" s="608"/>
      <c r="K94" s="609"/>
      <c r="L94" s="98"/>
    </row>
    <row r="95" spans="1:16" s="102" customFormat="1" ht="24.75" customHeight="1">
      <c r="A95" s="86"/>
      <c r="B95" s="86"/>
      <c r="C95" s="87"/>
      <c r="D95" s="182" t="str">
        <f>COMPOSIÇÃO!D116</f>
        <v>CONECTOR  BIMETÁLICO TIPO  UC 25  - PARA CABO DE ALUMÍNIO - FORNECIMENTO E INSTALACAO</v>
      </c>
      <c r="E95" s="86"/>
      <c r="F95" s="607"/>
      <c r="G95" s="608"/>
      <c r="H95" s="608"/>
      <c r="I95" s="608"/>
      <c r="J95" s="608"/>
      <c r="K95" s="609"/>
      <c r="L95" s="98"/>
    </row>
    <row r="96" spans="1:16" s="102" customFormat="1">
      <c r="A96" s="86" t="s">
        <v>339</v>
      </c>
      <c r="B96" s="86">
        <v>18</v>
      </c>
      <c r="C96" s="87" t="s">
        <v>68</v>
      </c>
      <c r="D96" s="136" t="str">
        <f>COMPOSIÇÃO!D117</f>
        <v>CONECTOR BIMETALICO TIPO UC 25</v>
      </c>
      <c r="E96" s="86" t="s">
        <v>190</v>
      </c>
      <c r="F96" s="607">
        <v>200</v>
      </c>
      <c r="G96" s="608">
        <f>COMPOSIÇÃO!I116</f>
        <v>8.26</v>
      </c>
      <c r="H96" s="608">
        <f>COMPOSIÇÃO!J116</f>
        <v>1.86</v>
      </c>
      <c r="I96" s="608">
        <f>TRUNC((H96+G96),2)</f>
        <v>10.119999999999999</v>
      </c>
      <c r="J96" s="608">
        <f>TRUNC((I96+I96*$K$4),2)</f>
        <v>12.63</v>
      </c>
      <c r="K96" s="609">
        <f t="shared" ref="K96" si="28">TRUNC((J96)*F96,2)</f>
        <v>2526</v>
      </c>
      <c r="L96" s="98"/>
    </row>
    <row r="97" spans="1:16" s="102" customFormat="1">
      <c r="A97" s="86"/>
      <c r="B97" s="86"/>
      <c r="C97" s="87"/>
      <c r="D97" s="136"/>
      <c r="E97" s="86"/>
      <c r="F97" s="607"/>
      <c r="G97" s="608"/>
      <c r="H97" s="608"/>
      <c r="I97" s="608"/>
      <c r="J97" s="608"/>
      <c r="K97" s="609"/>
      <c r="L97" s="98"/>
    </row>
    <row r="98" spans="1:16" s="102" customFormat="1">
      <c r="A98" s="196"/>
      <c r="B98" s="196"/>
      <c r="C98" s="215"/>
      <c r="D98" s="182" t="s">
        <v>344</v>
      </c>
      <c r="E98" s="196"/>
      <c r="F98" s="627"/>
      <c r="G98" s="628"/>
      <c r="H98" s="628"/>
      <c r="I98" s="628"/>
      <c r="J98" s="628"/>
      <c r="K98" s="619">
        <f>K96</f>
        <v>2526</v>
      </c>
      <c r="L98" s="216"/>
      <c r="P98" s="294"/>
    </row>
    <row r="99" spans="1:16" s="102" customFormat="1">
      <c r="A99" s="86"/>
      <c r="B99" s="86"/>
      <c r="C99" s="87"/>
      <c r="D99" s="136"/>
      <c r="E99" s="86"/>
      <c r="F99" s="607"/>
      <c r="G99" s="608"/>
      <c r="H99" s="608"/>
      <c r="I99" s="608"/>
      <c r="J99" s="608"/>
      <c r="K99" s="609"/>
      <c r="L99" s="98"/>
    </row>
    <row r="100" spans="1:16" s="102" customFormat="1" ht="25.5">
      <c r="A100" s="86"/>
      <c r="B100" s="86"/>
      <c r="C100" s="87"/>
      <c r="D100" s="182" t="str">
        <f>COMPOSIÇÃO!D121</f>
        <v>CONECTOR DE DERIVAÇÃO PERFURANTE PARA CABO PROTEGIDO PRINCIPAL 1,5-10MM - DERIVAÇÃO 10-95MM - FORNECIMENTO E INSTALACAO</v>
      </c>
      <c r="E100" s="86"/>
      <c r="F100" s="607"/>
      <c r="G100" s="608"/>
      <c r="H100" s="608"/>
      <c r="I100" s="608"/>
      <c r="J100" s="608"/>
      <c r="K100" s="609"/>
      <c r="L100" s="98"/>
    </row>
    <row r="101" spans="1:16" s="102" customFormat="1">
      <c r="A101" s="86" t="s">
        <v>340</v>
      </c>
      <c r="B101" s="86">
        <v>19</v>
      </c>
      <c r="C101" s="87" t="s">
        <v>68</v>
      </c>
      <c r="D101" s="136" t="str">
        <f>COMPOSIÇÃO!D122</f>
        <v>CONECTOR PERFURANTE</v>
      </c>
      <c r="E101" s="86" t="s">
        <v>190</v>
      </c>
      <c r="F101" s="607">
        <v>200</v>
      </c>
      <c r="G101" s="608">
        <f>COMPOSIÇÃO!I121</f>
        <v>4</v>
      </c>
      <c r="H101" s="608">
        <f>COMPOSIÇÃO!J121</f>
        <v>1.86</v>
      </c>
      <c r="I101" s="608">
        <f>TRUNC((H101+G101),2)</f>
        <v>5.86</v>
      </c>
      <c r="J101" s="608">
        <f>TRUNC((I101+I101*$K$4),2)</f>
        <v>7.31</v>
      </c>
      <c r="K101" s="609">
        <f t="shared" ref="K101" si="29">TRUNC((J101)*F101,2)</f>
        <v>1462</v>
      </c>
      <c r="L101" s="98"/>
    </row>
    <row r="102" spans="1:16" s="102" customFormat="1">
      <c r="A102" s="86"/>
      <c r="B102" s="86"/>
      <c r="C102" s="87"/>
      <c r="D102" s="136"/>
      <c r="E102" s="86"/>
      <c r="F102" s="607"/>
      <c r="G102" s="608"/>
      <c r="H102" s="608"/>
      <c r="I102" s="608"/>
      <c r="J102" s="608"/>
      <c r="K102" s="609"/>
      <c r="L102" s="98"/>
    </row>
    <row r="103" spans="1:16" s="102" customFormat="1">
      <c r="A103" s="196"/>
      <c r="B103" s="196"/>
      <c r="C103" s="215"/>
      <c r="D103" s="182" t="s">
        <v>345</v>
      </c>
      <c r="E103" s="196"/>
      <c r="F103" s="627"/>
      <c r="G103" s="628"/>
      <c r="H103" s="628"/>
      <c r="I103" s="628"/>
      <c r="J103" s="628"/>
      <c r="K103" s="619">
        <f>K101</f>
        <v>1462</v>
      </c>
      <c r="L103" s="216"/>
      <c r="P103" s="294"/>
    </row>
    <row r="104" spans="1:16" s="102" customFormat="1">
      <c r="A104" s="86"/>
      <c r="B104" s="86"/>
      <c r="C104" s="87"/>
      <c r="D104" s="136"/>
      <c r="E104" s="86"/>
      <c r="F104" s="607"/>
      <c r="G104" s="608"/>
      <c r="H104" s="608"/>
      <c r="I104" s="608"/>
      <c r="J104" s="608"/>
      <c r="K104" s="609"/>
      <c r="L104" s="98"/>
    </row>
    <row r="105" spans="1:16" s="102" customFormat="1">
      <c r="A105" s="86"/>
      <c r="B105" s="86"/>
      <c r="C105" s="87"/>
      <c r="D105" s="182" t="s">
        <v>368</v>
      </c>
      <c r="E105" s="196"/>
      <c r="F105" s="627"/>
      <c r="G105" s="628"/>
      <c r="H105" s="628"/>
      <c r="I105" s="628"/>
      <c r="J105" s="628"/>
      <c r="K105" s="619">
        <f>K103+K98+K93+K88+K84+K79+K73+K69</f>
        <v>101891.6</v>
      </c>
      <c r="L105" s="98"/>
    </row>
    <row r="106" spans="1:16" s="102" customFormat="1">
      <c r="A106" s="86"/>
      <c r="B106" s="86"/>
      <c r="C106" s="87"/>
      <c r="D106" s="136"/>
      <c r="E106" s="86"/>
      <c r="F106" s="89"/>
      <c r="G106" s="90"/>
      <c r="H106" s="90"/>
      <c r="I106" s="90"/>
      <c r="J106" s="90"/>
      <c r="K106" s="91"/>
      <c r="L106" s="98"/>
    </row>
    <row r="107" spans="1:16" s="102" customFormat="1">
      <c r="A107" s="86"/>
      <c r="B107" s="86"/>
      <c r="C107" s="87"/>
      <c r="D107" s="136"/>
      <c r="E107" s="86"/>
      <c r="F107" s="89"/>
      <c r="G107" s="90"/>
      <c r="H107" s="90"/>
      <c r="I107" s="90"/>
      <c r="J107" s="90"/>
      <c r="K107" s="91"/>
      <c r="L107" s="98"/>
    </row>
    <row r="108" spans="1:16" s="102" customFormat="1">
      <c r="A108" s="93"/>
      <c r="B108" s="93"/>
      <c r="C108" s="93"/>
      <c r="D108" s="94"/>
      <c r="E108" s="95"/>
      <c r="F108" s="96"/>
      <c r="G108" s="97"/>
      <c r="H108" s="108"/>
      <c r="I108" s="108"/>
      <c r="J108" s="108"/>
      <c r="K108" s="101"/>
      <c r="L108" s="98"/>
    </row>
    <row r="109" spans="1:16" s="102" customFormat="1">
      <c r="A109" s="109"/>
      <c r="B109" s="109"/>
      <c r="C109" s="109"/>
      <c r="D109" s="110"/>
      <c r="E109" s="111"/>
      <c r="F109" s="112"/>
      <c r="G109" s="113"/>
      <c r="H109" s="114"/>
      <c r="I109" s="114"/>
      <c r="J109" s="114"/>
      <c r="K109" s="115"/>
      <c r="L109" s="98"/>
    </row>
    <row r="110" spans="1:16" s="102" customFormat="1" ht="18.75">
      <c r="A110" s="138"/>
      <c r="B110" s="139"/>
      <c r="C110" s="140"/>
      <c r="D110" s="657" t="s">
        <v>86</v>
      </c>
      <c r="E110" s="657"/>
      <c r="F110" s="657"/>
      <c r="G110" s="141"/>
      <c r="H110" s="141"/>
      <c r="I110" s="141"/>
      <c r="J110" s="141"/>
      <c r="K110" s="142">
        <f>K103+K98+K93+K88+K84+K79+K73+K69+K62+K54+K45+K35+K26+K15</f>
        <v>1005725.1199999999</v>
      </c>
      <c r="L110" s="98"/>
    </row>
    <row r="111" spans="1:16">
      <c r="L111" s="98"/>
    </row>
    <row r="112" spans="1:16">
      <c r="L112" s="98"/>
    </row>
    <row r="113" spans="12:12">
      <c r="L113" s="98" t="e">
        <f>#REF!/#REF!</f>
        <v>#REF!</v>
      </c>
    </row>
    <row r="114" spans="12:12">
      <c r="L114" s="98"/>
    </row>
    <row r="115" spans="12:12">
      <c r="L115" s="98"/>
    </row>
    <row r="116" spans="12:12">
      <c r="L116" s="98"/>
    </row>
    <row r="117" spans="12:12">
      <c r="L117" s="98"/>
    </row>
    <row r="118" spans="12:12">
      <c r="L118" s="98"/>
    </row>
    <row r="119" spans="12:12">
      <c r="L119" s="98"/>
    </row>
    <row r="120" spans="12:12">
      <c r="L120" s="98"/>
    </row>
    <row r="121" spans="12:12">
      <c r="L121" s="98"/>
    </row>
    <row r="122" spans="12:12">
      <c r="L122" s="98"/>
    </row>
    <row r="123" spans="12:12">
      <c r="L123" s="98"/>
    </row>
    <row r="124" spans="12:12">
      <c r="L124" s="98"/>
    </row>
    <row r="125" spans="12:12">
      <c r="L125" s="98"/>
    </row>
    <row r="126" spans="12:12">
      <c r="L126" s="98"/>
    </row>
    <row r="127" spans="12:12">
      <c r="L127" s="98"/>
    </row>
    <row r="128" spans="12:12">
      <c r="L128" s="98"/>
    </row>
    <row r="129" spans="12:12">
      <c r="L129" s="98"/>
    </row>
    <row r="130" spans="12:12">
      <c r="L130" s="98"/>
    </row>
    <row r="131" spans="12:12">
      <c r="L131" s="98"/>
    </row>
    <row r="132" spans="12:12">
      <c r="L132" s="98"/>
    </row>
    <row r="133" spans="12:12">
      <c r="L133" s="98"/>
    </row>
    <row r="134" spans="12:12">
      <c r="L134" s="98"/>
    </row>
    <row r="135" spans="12:12">
      <c r="L135" s="98"/>
    </row>
    <row r="136" spans="12:12">
      <c r="L136" s="98"/>
    </row>
    <row r="137" spans="12:12">
      <c r="L137" s="98"/>
    </row>
    <row r="138" spans="12:12">
      <c r="L138" s="98"/>
    </row>
  </sheetData>
  <mergeCells count="6">
    <mergeCell ref="B1:K1"/>
    <mergeCell ref="G7:I7"/>
    <mergeCell ref="B7:F7"/>
    <mergeCell ref="D110:F110"/>
    <mergeCell ref="D47:K47"/>
    <mergeCell ref="D39:E39"/>
  </mergeCells>
  <conditionalFormatting sqref="D67">
    <cfRule type="expression" dxfId="181" priority="1" stopIfTrue="1">
      <formula>AND($B67&lt;&gt;"COMPOSICAO",$B67&lt;&gt;"INSUMO",$B67&lt;&gt;"")</formula>
    </cfRule>
    <cfRule type="expression" dxfId="180" priority="2" stopIfTrue="1">
      <formula>AND(OR($B67="COMPOSICAO",$B67="INSUMO",$B67&lt;&gt;""),$B67&lt;&gt;"")</formula>
    </cfRule>
  </conditionalFormatting>
  <printOptions horizontalCentered="1" gridLines="1"/>
  <pageMargins left="0.78740157480314965" right="0.78740157480314965" top="0.98425196850393704" bottom="0.78740157480314965" header="0.31496062992125984" footer="0.31496062992125984"/>
  <pageSetup paperSize="9" scale="67" fitToWidth="0" orientation="landscape" r:id="rId1"/>
  <headerFoot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opLeftCell="A34" zoomScaleNormal="100" workbookViewId="0">
      <selection activeCell="J88" sqref="J88"/>
    </sheetView>
  </sheetViews>
  <sheetFormatPr defaultColWidth="9.140625" defaultRowHeight="12.75" outlineLevelRow="1"/>
  <cols>
    <col min="1" max="1" width="6.28515625" style="220" customWidth="1"/>
    <col min="2" max="2" width="14.42578125" style="10" customWidth="1"/>
    <col min="3" max="3" width="13.85546875" style="44" customWidth="1"/>
    <col min="4" max="4" width="67.7109375" style="64" customWidth="1"/>
    <col min="5" max="5" width="8.7109375" style="10" customWidth="1"/>
    <col min="6" max="6" width="8.85546875" style="45" customWidth="1"/>
    <col min="7" max="7" width="10.42578125" style="35" bestFit="1" customWidth="1"/>
    <col min="8" max="8" width="7.28515625" style="46" hidden="1" customWidth="1"/>
    <col min="9" max="9" width="9.85546875" style="46" customWidth="1"/>
    <col min="10" max="10" width="12.7109375" style="47" customWidth="1"/>
    <col min="11" max="11" width="9.5703125" style="47" customWidth="1"/>
    <col min="12" max="12" width="0.28515625" style="10" hidden="1" customWidth="1"/>
    <col min="13" max="13" width="12.7109375" style="10" bestFit="1" customWidth="1"/>
    <col min="14" max="14" width="10.42578125" style="10" bestFit="1" customWidth="1"/>
    <col min="15" max="16384" width="9.140625" style="10"/>
  </cols>
  <sheetData>
    <row r="1" spans="1:12">
      <c r="A1" s="179"/>
      <c r="B1" s="3"/>
      <c r="C1" s="4"/>
      <c r="D1" s="59"/>
      <c r="E1" s="3"/>
      <c r="F1" s="5"/>
      <c r="G1" s="6"/>
      <c r="H1" s="7"/>
      <c r="I1" s="7"/>
      <c r="J1" s="8"/>
      <c r="K1" s="9"/>
    </row>
    <row r="2" spans="1:12">
      <c r="A2" s="11" t="s">
        <v>80</v>
      </c>
      <c r="B2" s="12"/>
      <c r="C2" s="13"/>
      <c r="D2" s="60"/>
      <c r="E2" s="13"/>
      <c r="F2" s="14"/>
      <c r="G2" s="15"/>
      <c r="H2" s="16"/>
      <c r="I2" s="16"/>
      <c r="J2" s="13"/>
      <c r="K2" s="17"/>
    </row>
    <row r="3" spans="1:12">
      <c r="A3" s="11" t="s">
        <v>184</v>
      </c>
      <c r="B3" s="1"/>
      <c r="C3" s="1"/>
      <c r="D3" s="61"/>
      <c r="E3" s="1"/>
      <c r="F3" s="18"/>
      <c r="G3" s="19"/>
      <c r="H3" s="20"/>
      <c r="I3" s="20"/>
      <c r="J3" s="1"/>
      <c r="K3" s="21"/>
    </row>
    <row r="4" spans="1:12">
      <c r="A4" s="22" t="s">
        <v>93</v>
      </c>
      <c r="B4" s="12"/>
      <c r="C4" s="1"/>
      <c r="D4" s="61"/>
      <c r="E4" s="1"/>
      <c r="F4" s="18"/>
      <c r="G4" s="19"/>
      <c r="H4" s="20"/>
      <c r="I4" s="20"/>
      <c r="J4" s="1"/>
      <c r="K4" s="21"/>
    </row>
    <row r="5" spans="1:12">
      <c r="A5" s="180"/>
      <c r="B5" s="12"/>
      <c r="C5" s="1"/>
      <c r="D5" s="61"/>
      <c r="E5" s="23"/>
      <c r="F5" s="24"/>
      <c r="G5" s="25"/>
      <c r="H5" s="26"/>
      <c r="I5" s="26"/>
      <c r="J5" s="27"/>
      <c r="K5" s="28"/>
    </row>
    <row r="6" spans="1:12" ht="18.75">
      <c r="A6" s="661" t="s">
        <v>47</v>
      </c>
      <c r="B6" s="662"/>
      <c r="C6" s="662"/>
      <c r="D6" s="662"/>
      <c r="E6" s="662"/>
      <c r="F6" s="662"/>
      <c r="G6" s="662"/>
      <c r="H6" s="662"/>
      <c r="I6" s="662"/>
      <c r="J6" s="662"/>
      <c r="K6" s="663"/>
    </row>
    <row r="7" spans="1:12" ht="13.5" thickBot="1">
      <c r="A7" s="181"/>
      <c r="B7" s="29"/>
      <c r="C7" s="30"/>
      <c r="D7" s="62"/>
      <c r="E7" s="678" t="s">
        <v>534</v>
      </c>
      <c r="F7" s="678"/>
      <c r="G7" s="678"/>
      <c r="H7" s="678"/>
      <c r="I7" s="678"/>
      <c r="J7" s="678"/>
      <c r="K7" s="679"/>
    </row>
    <row r="8" spans="1:12">
      <c r="A8" s="664" t="s">
        <v>4</v>
      </c>
      <c r="B8" s="672" t="s">
        <v>39</v>
      </c>
      <c r="C8" s="674" t="s">
        <v>40</v>
      </c>
      <c r="D8" s="672" t="s">
        <v>41</v>
      </c>
      <c r="E8" s="672" t="s">
        <v>42</v>
      </c>
      <c r="F8" s="676" t="s">
        <v>43</v>
      </c>
      <c r="G8" s="668" t="s">
        <v>77</v>
      </c>
      <c r="H8" s="666" t="s">
        <v>44</v>
      </c>
      <c r="I8" s="666" t="s">
        <v>45</v>
      </c>
      <c r="J8" s="668" t="s">
        <v>46</v>
      </c>
      <c r="K8" s="670" t="s">
        <v>7</v>
      </c>
    </row>
    <row r="9" spans="1:12">
      <c r="A9" s="665"/>
      <c r="B9" s="673"/>
      <c r="C9" s="675"/>
      <c r="D9" s="673"/>
      <c r="E9" s="673"/>
      <c r="F9" s="677"/>
      <c r="G9" s="669"/>
      <c r="H9" s="667"/>
      <c r="I9" s="667"/>
      <c r="J9" s="669"/>
      <c r="K9" s="671"/>
    </row>
    <row r="10" spans="1:12">
      <c r="A10" s="225">
        <v>1</v>
      </c>
      <c r="B10" s="50" t="s">
        <v>69</v>
      </c>
      <c r="C10" s="53" t="s">
        <v>25</v>
      </c>
      <c r="D10" s="58" t="s">
        <v>29</v>
      </c>
      <c r="E10" s="50" t="s">
        <v>16</v>
      </c>
      <c r="F10" s="51" t="s">
        <v>17</v>
      </c>
      <c r="G10" s="52"/>
      <c r="H10" s="42"/>
      <c r="I10" s="42">
        <f>SUM(I11)</f>
        <v>0</v>
      </c>
      <c r="J10" s="43">
        <f>SUM(J11)</f>
        <v>226.5</v>
      </c>
      <c r="K10" s="43">
        <f>TRUNC((J10+I10),2)</f>
        <v>226.5</v>
      </c>
      <c r="L10" s="10" t="s">
        <v>165</v>
      </c>
    </row>
    <row r="11" spans="1:12" ht="25.5" outlineLevel="1">
      <c r="A11" s="226"/>
      <c r="B11" s="50" t="s">
        <v>78</v>
      </c>
      <c r="C11" s="53" t="s">
        <v>25</v>
      </c>
      <c r="D11" s="58" t="s">
        <v>36</v>
      </c>
      <c r="E11" s="50" t="s">
        <v>16</v>
      </c>
      <c r="F11" s="51">
        <v>1</v>
      </c>
      <c r="G11" s="52">
        <v>226.5</v>
      </c>
      <c r="H11" s="42"/>
      <c r="I11" s="42">
        <v>0</v>
      </c>
      <c r="J11" s="43">
        <f>TRUNC((G11*F11),2)</f>
        <v>226.5</v>
      </c>
      <c r="K11" s="43"/>
    </row>
    <row r="12" spans="1:12" outlineLevel="1">
      <c r="A12" s="227"/>
      <c r="B12" s="159"/>
      <c r="C12" s="160"/>
      <c r="D12" s="161" t="s">
        <v>179</v>
      </c>
      <c r="E12" s="160"/>
      <c r="F12" s="162"/>
      <c r="G12" s="163"/>
      <c r="H12" s="164"/>
      <c r="I12" s="164"/>
      <c r="J12" s="165"/>
      <c r="K12" s="166"/>
    </row>
    <row r="13" spans="1:12" outlineLevel="1">
      <c r="A13" s="227"/>
      <c r="B13" s="36"/>
      <c r="C13" s="37"/>
      <c r="D13" s="63"/>
      <c r="E13" s="36"/>
      <c r="F13" s="38"/>
      <c r="G13" s="39"/>
      <c r="H13" s="40"/>
      <c r="I13" s="40"/>
      <c r="J13" s="41"/>
      <c r="K13" s="41"/>
    </row>
    <row r="14" spans="1:12" ht="25.5">
      <c r="A14" s="225">
        <v>2</v>
      </c>
      <c r="B14" s="50" t="s">
        <v>15</v>
      </c>
      <c r="C14" s="53" t="s">
        <v>68</v>
      </c>
      <c r="D14" s="58" t="s">
        <v>98</v>
      </c>
      <c r="E14" s="50" t="s">
        <v>16</v>
      </c>
      <c r="F14" s="51"/>
      <c r="G14" s="52"/>
      <c r="H14" s="42"/>
      <c r="I14" s="42">
        <f>SUM(I15:I16)</f>
        <v>0</v>
      </c>
      <c r="J14" s="43">
        <f>SUM(J15:J16)</f>
        <v>157.76</v>
      </c>
      <c r="K14" s="43">
        <f>TRUNC((J14+I14),2)</f>
        <v>157.76</v>
      </c>
      <c r="L14" s="10" t="s">
        <v>165</v>
      </c>
    </row>
    <row r="15" spans="1:12" ht="51" outlineLevel="1">
      <c r="A15" s="226"/>
      <c r="B15" s="50" t="s">
        <v>18</v>
      </c>
      <c r="C15" s="53">
        <v>93402</v>
      </c>
      <c r="D15" s="58" t="s">
        <v>73</v>
      </c>
      <c r="E15" s="50" t="s">
        <v>19</v>
      </c>
      <c r="F15" s="51">
        <v>1</v>
      </c>
      <c r="G15" s="52">
        <v>141.44</v>
      </c>
      <c r="H15" s="42"/>
      <c r="I15" s="42"/>
      <c r="J15" s="43">
        <f>F15*G15</f>
        <v>141.44</v>
      </c>
      <c r="K15" s="43"/>
      <c r="L15" s="47"/>
    </row>
    <row r="16" spans="1:12" outlineLevel="1">
      <c r="A16" s="226"/>
      <c r="B16" s="50" t="s">
        <v>18</v>
      </c>
      <c r="C16" s="53">
        <v>88247</v>
      </c>
      <c r="D16" s="58" t="s">
        <v>21</v>
      </c>
      <c r="E16" s="50" t="s">
        <v>14</v>
      </c>
      <c r="F16" s="51">
        <v>1</v>
      </c>
      <c r="G16" s="52">
        <v>16.32</v>
      </c>
      <c r="H16" s="42"/>
      <c r="I16" s="42">
        <v>0</v>
      </c>
      <c r="J16" s="43">
        <f>TRUNC((G16*F16),2)</f>
        <v>16.32</v>
      </c>
      <c r="K16" s="43"/>
      <c r="L16" s="47"/>
    </row>
    <row r="17" spans="1:13" outlineLevel="1">
      <c r="A17" s="227"/>
      <c r="B17" s="36"/>
      <c r="C17" s="37"/>
      <c r="D17" s="63"/>
      <c r="E17" s="36"/>
      <c r="F17" s="38"/>
      <c r="G17" s="39"/>
      <c r="H17" s="40"/>
      <c r="I17" s="40"/>
      <c r="J17" s="41"/>
      <c r="K17" s="41"/>
    </row>
    <row r="18" spans="1:13" outlineLevel="1">
      <c r="A18" s="225">
        <v>3</v>
      </c>
      <c r="B18" s="50" t="s">
        <v>54</v>
      </c>
      <c r="C18" s="50" t="s">
        <v>72</v>
      </c>
      <c r="D18" s="58" t="s">
        <v>55</v>
      </c>
      <c r="E18" s="50" t="s">
        <v>53</v>
      </c>
      <c r="F18" s="51" t="s">
        <v>17</v>
      </c>
      <c r="G18" s="52"/>
      <c r="H18" s="42"/>
      <c r="I18" s="42">
        <f>SUM(I19:I25)</f>
        <v>451.46</v>
      </c>
      <c r="J18" s="43">
        <f>SUM(J19:J25)</f>
        <v>53.129999999999995</v>
      </c>
      <c r="K18" s="43">
        <f>TRUNC((J18+I18),2)</f>
        <v>504.59</v>
      </c>
      <c r="L18" s="10" t="s">
        <v>165</v>
      </c>
      <c r="M18" s="10">
        <v>504.61</v>
      </c>
    </row>
    <row r="19" spans="1:13" outlineLevel="1">
      <c r="A19" s="227"/>
      <c r="B19" s="50" t="s">
        <v>18</v>
      </c>
      <c r="C19" s="50" t="s">
        <v>50</v>
      </c>
      <c r="D19" s="58" t="s">
        <v>51</v>
      </c>
      <c r="E19" s="50" t="s">
        <v>14</v>
      </c>
      <c r="F19" s="51">
        <v>1</v>
      </c>
      <c r="G19" s="52">
        <v>20.23</v>
      </c>
      <c r="H19" s="42"/>
      <c r="I19" s="42">
        <v>0</v>
      </c>
      <c r="J19" s="43">
        <f t="shared" ref="J19:J20" si="0">TRUNC((G19*F19),2)</f>
        <v>20.23</v>
      </c>
      <c r="K19" s="43"/>
    </row>
    <row r="20" spans="1:13" outlineLevel="1">
      <c r="A20" s="227"/>
      <c r="B20" s="50" t="s">
        <v>18</v>
      </c>
      <c r="C20" s="50" t="s">
        <v>35</v>
      </c>
      <c r="D20" s="58" t="s">
        <v>20</v>
      </c>
      <c r="E20" s="50" t="s">
        <v>14</v>
      </c>
      <c r="F20" s="51">
        <v>2</v>
      </c>
      <c r="G20" s="52">
        <v>16.45</v>
      </c>
      <c r="H20" s="42"/>
      <c r="I20" s="42">
        <v>0</v>
      </c>
      <c r="J20" s="43">
        <f t="shared" si="0"/>
        <v>32.9</v>
      </c>
      <c r="K20" s="43"/>
    </row>
    <row r="21" spans="1:13" ht="25.5" outlineLevel="1">
      <c r="A21" s="227"/>
      <c r="B21" s="50" t="s">
        <v>18</v>
      </c>
      <c r="C21" s="50" t="s">
        <v>56</v>
      </c>
      <c r="D21" s="58" t="s">
        <v>57</v>
      </c>
      <c r="E21" s="50" t="s">
        <v>49</v>
      </c>
      <c r="F21" s="51">
        <v>1.0200000000000001E-2</v>
      </c>
      <c r="G21" s="52">
        <v>265.32</v>
      </c>
      <c r="H21" s="42"/>
      <c r="I21" s="42">
        <f t="shared" ref="I21:I25" si="1">TRUNC((G21*F21),2)</f>
        <v>2.7</v>
      </c>
      <c r="J21" s="43">
        <v>0</v>
      </c>
      <c r="K21" s="43"/>
    </row>
    <row r="22" spans="1:13" ht="25.5" outlineLevel="1">
      <c r="A22" s="227"/>
      <c r="B22" s="50" t="s">
        <v>23</v>
      </c>
      <c r="C22" s="50" t="s">
        <v>58</v>
      </c>
      <c r="D22" s="58" t="s">
        <v>59</v>
      </c>
      <c r="E22" s="50" t="s">
        <v>1</v>
      </c>
      <c r="F22" s="51">
        <v>1</v>
      </c>
      <c r="G22" s="52">
        <v>2.64</v>
      </c>
      <c r="H22" s="42"/>
      <c r="I22" s="42">
        <f t="shared" si="1"/>
        <v>2.64</v>
      </c>
      <c r="J22" s="43">
        <v>0</v>
      </c>
      <c r="K22" s="43"/>
    </row>
    <row r="23" spans="1:13" ht="25.5" outlineLevel="1">
      <c r="A23" s="227"/>
      <c r="B23" s="50" t="s">
        <v>23</v>
      </c>
      <c r="C23" s="50" t="s">
        <v>60</v>
      </c>
      <c r="D23" s="58" t="s">
        <v>61</v>
      </c>
      <c r="E23" s="50" t="s">
        <v>1</v>
      </c>
      <c r="F23" s="51">
        <v>4</v>
      </c>
      <c r="G23" s="52">
        <v>5</v>
      </c>
      <c r="H23" s="42"/>
      <c r="I23" s="42">
        <f t="shared" si="1"/>
        <v>20</v>
      </c>
      <c r="J23" s="43">
        <v>0</v>
      </c>
      <c r="K23" s="43"/>
    </row>
    <row r="24" spans="1:13" ht="25.5" outlineLevel="1">
      <c r="A24" s="227"/>
      <c r="B24" s="50" t="s">
        <v>23</v>
      </c>
      <c r="C24" s="50" t="s">
        <v>62</v>
      </c>
      <c r="D24" s="58" t="s">
        <v>63</v>
      </c>
      <c r="E24" s="50" t="s">
        <v>53</v>
      </c>
      <c r="F24" s="51">
        <v>1</v>
      </c>
      <c r="G24" s="52">
        <v>425</v>
      </c>
      <c r="H24" s="42"/>
      <c r="I24" s="42">
        <f t="shared" si="1"/>
        <v>425</v>
      </c>
      <c r="J24" s="43">
        <v>0</v>
      </c>
      <c r="K24" s="43"/>
    </row>
    <row r="25" spans="1:13" outlineLevel="1">
      <c r="A25" s="227"/>
      <c r="B25" s="50" t="s">
        <v>23</v>
      </c>
      <c r="C25" s="50" t="s">
        <v>64</v>
      </c>
      <c r="D25" s="58" t="s">
        <v>65</v>
      </c>
      <c r="E25" s="50" t="s">
        <v>52</v>
      </c>
      <c r="F25" s="51">
        <v>0.104</v>
      </c>
      <c r="G25" s="52">
        <v>10.83</v>
      </c>
      <c r="H25" s="42"/>
      <c r="I25" s="42">
        <f t="shared" si="1"/>
        <v>1.1200000000000001</v>
      </c>
      <c r="J25" s="43">
        <v>0</v>
      </c>
      <c r="K25" s="43"/>
    </row>
    <row r="26" spans="1:13" outlineLevel="1">
      <c r="A26" s="227"/>
      <c r="B26" s="48"/>
      <c r="C26" s="55"/>
      <c r="D26" s="65"/>
      <c r="E26" s="48"/>
      <c r="F26" s="56"/>
      <c r="G26" s="57"/>
      <c r="H26" s="145"/>
      <c r="I26" s="145"/>
      <c r="J26" s="49"/>
      <c r="K26" s="49"/>
    </row>
    <row r="27" spans="1:13" outlineLevel="1">
      <c r="A27" s="225">
        <v>4</v>
      </c>
      <c r="B27" s="151" t="s">
        <v>69</v>
      </c>
      <c r="C27" s="151" t="s">
        <v>68</v>
      </c>
      <c r="D27" s="152" t="s">
        <v>168</v>
      </c>
      <c r="E27" s="151" t="s">
        <v>89</v>
      </c>
      <c r="F27" s="151"/>
      <c r="G27" s="152"/>
      <c r="H27" s="152">
        <v>0</v>
      </c>
      <c r="I27" s="362">
        <f>SUM(I28:I33)</f>
        <v>188.13</v>
      </c>
      <c r="J27" s="362">
        <f>SUM(J28:J33)</f>
        <v>5219.75</v>
      </c>
      <c r="K27" s="362">
        <f>TRUNC((J27+I27),2)</f>
        <v>5407.88</v>
      </c>
      <c r="L27" s="10" t="s">
        <v>165</v>
      </c>
    </row>
    <row r="28" spans="1:13" outlineLevel="1">
      <c r="B28" s="50" t="s">
        <v>18</v>
      </c>
      <c r="C28" s="50">
        <v>91677</v>
      </c>
      <c r="D28" s="58" t="s">
        <v>173</v>
      </c>
      <c r="E28" s="50" t="s">
        <v>14</v>
      </c>
      <c r="F28" s="51">
        <v>25</v>
      </c>
      <c r="G28" s="52">
        <v>89.3</v>
      </c>
      <c r="H28" s="42">
        <v>0</v>
      </c>
      <c r="I28" s="42"/>
      <c r="J28" s="43">
        <f t="shared" ref="J28:J30" si="2">TRUNC((G28*F28),2)</f>
        <v>2232.5</v>
      </c>
      <c r="K28" s="43"/>
    </row>
    <row r="29" spans="1:13" outlineLevel="1">
      <c r="B29" s="50" t="s">
        <v>18</v>
      </c>
      <c r="C29" s="50">
        <v>90776</v>
      </c>
      <c r="D29" s="58" t="s">
        <v>171</v>
      </c>
      <c r="E29" s="50" t="s">
        <v>14</v>
      </c>
      <c r="F29" s="51">
        <v>100</v>
      </c>
      <c r="G29" s="52">
        <v>24.04</v>
      </c>
      <c r="H29" s="42">
        <v>0</v>
      </c>
      <c r="I29" s="42"/>
      <c r="J29" s="43">
        <f t="shared" si="2"/>
        <v>2404</v>
      </c>
      <c r="K29" s="43"/>
    </row>
    <row r="30" spans="1:13" outlineLevel="1">
      <c r="B30" s="50" t="s">
        <v>25</v>
      </c>
      <c r="C30" s="50" t="s">
        <v>347</v>
      </c>
      <c r="D30" s="58" t="s">
        <v>172</v>
      </c>
      <c r="E30" s="50" t="s">
        <v>177</v>
      </c>
      <c r="F30" s="51">
        <v>25</v>
      </c>
      <c r="G30" s="52">
        <v>23.33</v>
      </c>
      <c r="H30" s="42">
        <v>0</v>
      </c>
      <c r="I30" s="42"/>
      <c r="J30" s="43">
        <f t="shared" si="2"/>
        <v>583.25</v>
      </c>
      <c r="K30" s="43"/>
    </row>
    <row r="31" spans="1:13" outlineLevel="1">
      <c r="B31" s="50" t="s">
        <v>346</v>
      </c>
      <c r="C31" s="50" t="s">
        <v>347</v>
      </c>
      <c r="D31" s="58" t="s">
        <v>174</v>
      </c>
      <c r="E31" s="50" t="s">
        <v>177</v>
      </c>
      <c r="F31" s="51">
        <v>8</v>
      </c>
      <c r="G31" s="52">
        <v>18</v>
      </c>
      <c r="H31" s="42">
        <v>0</v>
      </c>
      <c r="I31" s="42">
        <f t="shared" ref="I31:I33" si="3">TRUNC((G31*F31),2)</f>
        <v>144</v>
      </c>
      <c r="J31" s="43"/>
      <c r="K31" s="166"/>
    </row>
    <row r="32" spans="1:13" outlineLevel="1">
      <c r="B32" s="50" t="s">
        <v>25</v>
      </c>
      <c r="C32" s="50" t="s">
        <v>347</v>
      </c>
      <c r="D32" s="58" t="s">
        <v>175</v>
      </c>
      <c r="E32" s="50" t="s">
        <v>177</v>
      </c>
      <c r="F32" s="51">
        <v>4</v>
      </c>
      <c r="G32" s="52">
        <v>10</v>
      </c>
      <c r="H32" s="42">
        <v>0</v>
      </c>
      <c r="I32" s="42">
        <f t="shared" si="3"/>
        <v>40</v>
      </c>
      <c r="J32" s="43"/>
      <c r="K32" s="43"/>
    </row>
    <row r="33" spans="1:13" ht="38.25" outlineLevel="1">
      <c r="B33" s="50" t="s">
        <v>23</v>
      </c>
      <c r="C33" s="50" t="s">
        <v>178</v>
      </c>
      <c r="D33" s="58" t="s">
        <v>176</v>
      </c>
      <c r="E33" s="50" t="s">
        <v>169</v>
      </c>
      <c r="F33" s="51">
        <v>3.3329999999999999E-2</v>
      </c>
      <c r="G33" s="52">
        <v>124.18</v>
      </c>
      <c r="H33" s="42">
        <v>0</v>
      </c>
      <c r="I33" s="42">
        <f t="shared" si="3"/>
        <v>4.13</v>
      </c>
      <c r="J33" s="43"/>
      <c r="K33" s="43"/>
    </row>
    <row r="34" spans="1:13" outlineLevel="1">
      <c r="B34" s="159"/>
      <c r="C34" s="160"/>
      <c r="D34" s="161" t="s">
        <v>164</v>
      </c>
      <c r="E34" s="160"/>
      <c r="F34" s="162"/>
      <c r="G34" s="163"/>
      <c r="H34" s="164"/>
      <c r="I34" s="164"/>
      <c r="J34" s="165"/>
      <c r="K34" s="166"/>
    </row>
    <row r="35" spans="1:13" outlineLevel="1">
      <c r="A35" s="227"/>
      <c r="B35" s="48"/>
      <c r="C35" s="55"/>
      <c r="D35" s="122"/>
      <c r="E35" s="48"/>
      <c r="F35" s="123"/>
      <c r="G35" s="49"/>
      <c r="H35" s="49"/>
      <c r="I35" s="40"/>
      <c r="J35" s="41"/>
      <c r="K35" s="49"/>
    </row>
    <row r="36" spans="1:13" ht="38.25" outlineLevel="1">
      <c r="A36" s="228">
        <v>5</v>
      </c>
      <c r="B36" s="50" t="s">
        <v>24</v>
      </c>
      <c r="C36" s="53" t="s">
        <v>74</v>
      </c>
      <c r="D36" s="120" t="s">
        <v>186</v>
      </c>
      <c r="E36" s="50" t="s">
        <v>14</v>
      </c>
      <c r="F36" s="121" t="s">
        <v>17</v>
      </c>
      <c r="G36" s="43"/>
      <c r="H36" s="359"/>
      <c r="I36" s="359">
        <f>SUM(I37:I39)</f>
        <v>31.67</v>
      </c>
      <c r="J36" s="359">
        <f>SUM(J37:J39)</f>
        <v>9.370000000000001</v>
      </c>
      <c r="K36" s="43">
        <f>J36+I36</f>
        <v>41.040000000000006</v>
      </c>
      <c r="L36" s="10" t="s">
        <v>165</v>
      </c>
    </row>
    <row r="37" spans="1:13" outlineLevel="1">
      <c r="A37" s="226"/>
      <c r="B37" s="50" t="s">
        <v>18</v>
      </c>
      <c r="C37" s="53" t="s">
        <v>35</v>
      </c>
      <c r="D37" s="120" t="s">
        <v>20</v>
      </c>
      <c r="E37" s="50" t="s">
        <v>14</v>
      </c>
      <c r="F37" s="121">
        <v>0.25</v>
      </c>
      <c r="G37" s="43">
        <v>16.45</v>
      </c>
      <c r="H37" s="43"/>
      <c r="I37" s="43">
        <v>0</v>
      </c>
      <c r="J37" s="33">
        <f t="shared" ref="J37:J38" si="4">TRUNC((G37*F37),2)</f>
        <v>4.1100000000000003</v>
      </c>
      <c r="K37" s="43"/>
    </row>
    <row r="38" spans="1:13" outlineLevel="1">
      <c r="A38" s="226"/>
      <c r="B38" s="31" t="s">
        <v>18</v>
      </c>
      <c r="C38" s="53" t="s">
        <v>33</v>
      </c>
      <c r="D38" s="58" t="s">
        <v>22</v>
      </c>
      <c r="E38" s="50" t="s">
        <v>14</v>
      </c>
      <c r="F38" s="121">
        <v>0.25</v>
      </c>
      <c r="G38" s="52">
        <v>21.07</v>
      </c>
      <c r="H38" s="54"/>
      <c r="I38" s="32">
        <v>0</v>
      </c>
      <c r="J38" s="33">
        <f t="shared" si="4"/>
        <v>5.26</v>
      </c>
      <c r="K38" s="54"/>
    </row>
    <row r="39" spans="1:13" ht="51" outlineLevel="1">
      <c r="A39" s="226"/>
      <c r="B39" s="50" t="s">
        <v>18</v>
      </c>
      <c r="C39" s="53" t="s">
        <v>75</v>
      </c>
      <c r="D39" s="120" t="s">
        <v>76</v>
      </c>
      <c r="E39" s="50" t="s">
        <v>19</v>
      </c>
      <c r="F39" s="121">
        <v>0.25</v>
      </c>
      <c r="G39" s="43">
        <v>126.69</v>
      </c>
      <c r="H39" s="43"/>
      <c r="I39" s="32">
        <f t="shared" ref="I39" si="5">TRUNC((G39*F39),2)</f>
        <v>31.67</v>
      </c>
      <c r="J39" s="43">
        <v>0</v>
      </c>
      <c r="K39" s="43"/>
    </row>
    <row r="40" spans="1:13" outlineLevel="1">
      <c r="A40" s="227"/>
      <c r="B40" s="48"/>
      <c r="C40" s="55"/>
      <c r="D40" s="122"/>
      <c r="E40" s="48"/>
      <c r="F40" s="123"/>
      <c r="G40" s="49"/>
      <c r="H40" s="49"/>
      <c r="I40" s="40"/>
      <c r="J40" s="49"/>
      <c r="K40" s="49"/>
    </row>
    <row r="41" spans="1:13" ht="38.25" outlineLevel="1">
      <c r="A41" s="219">
        <v>6</v>
      </c>
      <c r="B41" s="124" t="s">
        <v>24</v>
      </c>
      <c r="C41" s="53">
        <v>91926</v>
      </c>
      <c r="D41" s="146" t="s">
        <v>90</v>
      </c>
      <c r="E41" s="124" t="s">
        <v>1</v>
      </c>
      <c r="F41" s="147" t="s">
        <v>17</v>
      </c>
      <c r="G41" s="148"/>
      <c r="H41" s="149"/>
      <c r="I41" s="149">
        <f>SUM(I42:I45)</f>
        <v>1.57</v>
      </c>
      <c r="J41" s="359">
        <f>SUM(J42:J45)</f>
        <v>1.1099999999999999</v>
      </c>
      <c r="K41" s="43">
        <f>TRUNC((J41+I41),2)</f>
        <v>2.68</v>
      </c>
      <c r="L41" s="10" t="s">
        <v>165</v>
      </c>
      <c r="M41" s="10">
        <v>2.68</v>
      </c>
    </row>
    <row r="42" spans="1:13" outlineLevel="1">
      <c r="A42" s="199"/>
      <c r="B42" s="50" t="s">
        <v>18</v>
      </c>
      <c r="C42" s="50" t="s">
        <v>34</v>
      </c>
      <c r="D42" s="58" t="s">
        <v>21</v>
      </c>
      <c r="E42" s="50" t="s">
        <v>14</v>
      </c>
      <c r="F42" s="51">
        <v>0.03</v>
      </c>
      <c r="G42" s="52">
        <v>16.32</v>
      </c>
      <c r="H42" s="42"/>
      <c r="I42" s="42">
        <v>0</v>
      </c>
      <c r="J42" s="43">
        <f t="shared" ref="J42:J43" si="6">TRUNC((G42*F42),2)</f>
        <v>0.48</v>
      </c>
      <c r="K42" s="43"/>
    </row>
    <row r="43" spans="1:13" outlineLevel="1">
      <c r="A43" s="199"/>
      <c r="B43" s="50" t="s">
        <v>18</v>
      </c>
      <c r="C43" s="50" t="s">
        <v>33</v>
      </c>
      <c r="D43" s="58" t="s">
        <v>22</v>
      </c>
      <c r="E43" s="50" t="s">
        <v>14</v>
      </c>
      <c r="F43" s="51">
        <v>0.03</v>
      </c>
      <c r="G43" s="52">
        <v>21.07</v>
      </c>
      <c r="H43" s="42"/>
      <c r="I43" s="42">
        <v>0</v>
      </c>
      <c r="J43" s="43">
        <f t="shared" si="6"/>
        <v>0.63</v>
      </c>
      <c r="K43" s="43"/>
    </row>
    <row r="44" spans="1:13" ht="25.5" outlineLevel="1">
      <c r="A44" s="199"/>
      <c r="B44" s="50" t="s">
        <v>23</v>
      </c>
      <c r="C44" s="50">
        <v>1014</v>
      </c>
      <c r="D44" s="58" t="s">
        <v>91</v>
      </c>
      <c r="E44" s="50" t="s">
        <v>1</v>
      </c>
      <c r="F44" s="51">
        <v>1.19</v>
      </c>
      <c r="G44" s="52">
        <v>1.3</v>
      </c>
      <c r="H44" s="42"/>
      <c r="I44" s="42">
        <f t="shared" ref="I44:I45" si="7">TRUNC((G44*F44),2)</f>
        <v>1.54</v>
      </c>
      <c r="J44" s="43">
        <v>0</v>
      </c>
      <c r="K44" s="50"/>
    </row>
    <row r="45" spans="1:13" ht="25.5" outlineLevel="1">
      <c r="A45" s="199"/>
      <c r="B45" s="50" t="s">
        <v>23</v>
      </c>
      <c r="C45" s="50">
        <v>21127</v>
      </c>
      <c r="D45" s="58" t="s">
        <v>37</v>
      </c>
      <c r="E45" s="50" t="s">
        <v>16</v>
      </c>
      <c r="F45" s="51">
        <v>8.9999999999999993E-3</v>
      </c>
      <c r="G45" s="52">
        <v>3.78</v>
      </c>
      <c r="H45" s="42"/>
      <c r="I45" s="42">
        <f t="shared" si="7"/>
        <v>0.03</v>
      </c>
      <c r="J45" s="43">
        <v>0</v>
      </c>
      <c r="K45" s="50"/>
    </row>
    <row r="46" spans="1:13" outlineLevel="1">
      <c r="A46" s="199"/>
      <c r="B46" s="48"/>
      <c r="C46" s="48"/>
      <c r="D46" s="65"/>
      <c r="E46" s="48"/>
      <c r="F46" s="56"/>
      <c r="G46" s="57"/>
      <c r="H46" s="145"/>
      <c r="I46" s="145"/>
      <c r="J46" s="49"/>
      <c r="K46" s="48"/>
    </row>
    <row r="47" spans="1:13" ht="71.25" customHeight="1" outlineLevel="1">
      <c r="A47" s="219">
        <v>7</v>
      </c>
      <c r="B47" s="50" t="s">
        <v>24</v>
      </c>
      <c r="C47" s="53" t="s">
        <v>68</v>
      </c>
      <c r="D47" s="171" t="s">
        <v>94</v>
      </c>
      <c r="E47" s="50" t="s">
        <v>16</v>
      </c>
      <c r="F47" s="51" t="s">
        <v>17</v>
      </c>
      <c r="G47" s="52"/>
      <c r="H47" s="42"/>
      <c r="I47" s="144">
        <f>SUM(I48:I51)</f>
        <v>1069.57</v>
      </c>
      <c r="J47" s="144">
        <f>SUM(J48:J51)</f>
        <v>57.460000000000008</v>
      </c>
      <c r="K47" s="43">
        <f>TRUNC((J47+I47),2)</f>
        <v>1127.03</v>
      </c>
    </row>
    <row r="48" spans="1:13" outlineLevel="1">
      <c r="A48" s="199"/>
      <c r="B48" s="50" t="s">
        <v>18</v>
      </c>
      <c r="C48" s="50" t="s">
        <v>33</v>
      </c>
      <c r="D48" s="58" t="s">
        <v>22</v>
      </c>
      <c r="E48" s="50" t="s">
        <v>14</v>
      </c>
      <c r="F48" s="51">
        <v>0.35</v>
      </c>
      <c r="G48" s="52">
        <v>21.07</v>
      </c>
      <c r="H48" s="42"/>
      <c r="I48" s="42">
        <v>0</v>
      </c>
      <c r="J48" s="43">
        <f t="shared" ref="J48:J51" si="8">TRUNC((G48*F48),2)</f>
        <v>7.37</v>
      </c>
      <c r="K48" s="43"/>
    </row>
    <row r="49" spans="1:11" outlineLevel="1">
      <c r="A49" s="199"/>
      <c r="B49" s="50" t="s">
        <v>18</v>
      </c>
      <c r="C49" s="50" t="s">
        <v>35</v>
      </c>
      <c r="D49" s="58" t="s">
        <v>20</v>
      </c>
      <c r="E49" s="50" t="s">
        <v>14</v>
      </c>
      <c r="F49" s="51">
        <v>0.35</v>
      </c>
      <c r="G49" s="52">
        <v>16.45</v>
      </c>
      <c r="H49" s="42"/>
      <c r="I49" s="42">
        <v>0</v>
      </c>
      <c r="J49" s="43">
        <f>TRUNC((G49*F49),2)</f>
        <v>5.75</v>
      </c>
      <c r="K49" s="43"/>
    </row>
    <row r="50" spans="1:11" ht="51" outlineLevel="1">
      <c r="A50" s="199"/>
      <c r="B50" s="50" t="s">
        <v>25</v>
      </c>
      <c r="C50" s="50" t="s">
        <v>262</v>
      </c>
      <c r="D50" s="58" t="s">
        <v>489</v>
      </c>
      <c r="E50" s="50" t="s">
        <v>16</v>
      </c>
      <c r="F50" s="51">
        <v>1</v>
      </c>
      <c r="G50" s="52">
        <v>1069.57</v>
      </c>
      <c r="H50" s="42"/>
      <c r="I50" s="42">
        <f t="shared" ref="I50" si="9">TRUNC((G50*F50),2)</f>
        <v>1069.57</v>
      </c>
      <c r="J50" s="43">
        <v>0</v>
      </c>
      <c r="K50" s="43"/>
    </row>
    <row r="51" spans="1:11" ht="51" outlineLevel="1">
      <c r="A51" s="199"/>
      <c r="B51" s="50" t="s">
        <v>18</v>
      </c>
      <c r="C51" s="53" t="s">
        <v>75</v>
      </c>
      <c r="D51" s="120" t="s">
        <v>76</v>
      </c>
      <c r="E51" s="50" t="s">
        <v>19</v>
      </c>
      <c r="F51" s="121">
        <v>0.35</v>
      </c>
      <c r="G51" s="43">
        <v>126.69</v>
      </c>
      <c r="H51" s="43"/>
      <c r="I51" s="32"/>
      <c r="J51" s="43">
        <f t="shared" si="8"/>
        <v>44.34</v>
      </c>
      <c r="K51" s="43"/>
    </row>
    <row r="52" spans="1:11" outlineLevel="1">
      <c r="A52" s="199"/>
      <c r="B52" s="48"/>
      <c r="C52" s="48"/>
      <c r="D52" s="65"/>
      <c r="E52" s="48"/>
      <c r="F52" s="56"/>
      <c r="G52" s="57"/>
      <c r="H52" s="145"/>
      <c r="I52" s="145"/>
      <c r="J52" s="49"/>
      <c r="K52" s="48"/>
    </row>
    <row r="53" spans="1:11" ht="25.5" outlineLevel="1">
      <c r="A53" s="219">
        <v>8</v>
      </c>
      <c r="B53" s="172" t="s">
        <v>24</v>
      </c>
      <c r="C53" s="173" t="s">
        <v>68</v>
      </c>
      <c r="D53" s="174" t="s">
        <v>188</v>
      </c>
      <c r="E53" s="172" t="s">
        <v>190</v>
      </c>
      <c r="F53" s="175"/>
      <c r="G53" s="176"/>
      <c r="H53" s="177"/>
      <c r="I53" s="178">
        <f>SUM(I54:I57)</f>
        <v>17.579999999999998</v>
      </c>
      <c r="J53" s="178">
        <f>SUM(J54:J57)</f>
        <v>12.7</v>
      </c>
      <c r="K53" s="178">
        <f>SUM(I53:J53)</f>
        <v>30.279999999999998</v>
      </c>
    </row>
    <row r="54" spans="1:11" outlineLevel="1">
      <c r="A54" s="199"/>
      <c r="B54" s="50" t="s">
        <v>25</v>
      </c>
      <c r="C54" s="53" t="s">
        <v>251</v>
      </c>
      <c r="D54" s="58" t="s">
        <v>189</v>
      </c>
      <c r="E54" s="50" t="s">
        <v>190</v>
      </c>
      <c r="F54" s="51">
        <v>1</v>
      </c>
      <c r="G54" s="52">
        <v>17.579999999999998</v>
      </c>
      <c r="H54" s="149"/>
      <c r="I54" s="42">
        <f t="shared" ref="I54" si="10">TRUNC((G54*F54),2)</f>
        <v>17.579999999999998</v>
      </c>
      <c r="J54" s="359"/>
      <c r="K54" s="43"/>
    </row>
    <row r="55" spans="1:11" outlineLevel="1">
      <c r="A55" s="199"/>
      <c r="B55" s="50" t="s">
        <v>18</v>
      </c>
      <c r="C55" s="50" t="s">
        <v>33</v>
      </c>
      <c r="D55" s="58" t="s">
        <v>22</v>
      </c>
      <c r="E55" s="50" t="s">
        <v>14</v>
      </c>
      <c r="F55" s="51">
        <v>0.17</v>
      </c>
      <c r="G55" s="52">
        <v>21.07</v>
      </c>
      <c r="H55" s="42"/>
      <c r="I55" s="42">
        <v>0</v>
      </c>
      <c r="J55" s="43">
        <f t="shared" ref="J55:J57" si="11">TRUNC((G55*F55),2)</f>
        <v>3.58</v>
      </c>
      <c r="K55" s="43"/>
    </row>
    <row r="56" spans="1:11" outlineLevel="1">
      <c r="A56" s="199"/>
      <c r="B56" s="50" t="s">
        <v>18</v>
      </c>
      <c r="C56" s="50" t="s">
        <v>35</v>
      </c>
      <c r="D56" s="58" t="s">
        <v>20</v>
      </c>
      <c r="E56" s="50" t="s">
        <v>14</v>
      </c>
      <c r="F56" s="51">
        <v>0.17</v>
      </c>
      <c r="G56" s="52">
        <v>16.45</v>
      </c>
      <c r="H56" s="42"/>
      <c r="I56" s="42">
        <v>0</v>
      </c>
      <c r="J56" s="43">
        <f t="shared" si="11"/>
        <v>2.79</v>
      </c>
      <c r="K56" s="43"/>
    </row>
    <row r="57" spans="1:11" ht="52.5" customHeight="1" outlineLevel="1">
      <c r="A57" s="199"/>
      <c r="B57" s="50" t="s">
        <v>18</v>
      </c>
      <c r="C57" s="53" t="s">
        <v>75</v>
      </c>
      <c r="D57" s="120" t="str">
        <f>D51</f>
        <v>GUINDAUTO HIDRÁULICO, CAPACIDADE MÁXIMA DE CARGA 6500 KG, MOMENTO MÁXIMO DE CARGA 5,8 TM, ALCANCE MÁXIMO HORIZONTAL 7,60 M, INCLUSIVE CAMINHÃO TOCO PBT 9.700 KG, POTÊNCIA DE 160 CV - CHP DIURNO. AF_08/2015</v>
      </c>
      <c r="E57" s="50" t="s">
        <v>19</v>
      </c>
      <c r="F57" s="121">
        <v>0.05</v>
      </c>
      <c r="G57" s="43">
        <v>126.69</v>
      </c>
      <c r="H57" s="43"/>
      <c r="I57" s="32"/>
      <c r="J57" s="43">
        <f t="shared" si="11"/>
        <v>6.33</v>
      </c>
      <c r="K57" s="43"/>
    </row>
    <row r="58" spans="1:11" outlineLevel="1">
      <c r="A58" s="199"/>
      <c r="B58" s="48"/>
      <c r="C58" s="48"/>
      <c r="D58" s="65"/>
      <c r="E58" s="48"/>
      <c r="F58" s="56"/>
      <c r="G58" s="57"/>
      <c r="H58" s="145"/>
      <c r="I58" s="145"/>
      <c r="J58" s="49"/>
      <c r="K58" s="48"/>
    </row>
    <row r="59" spans="1:11" ht="25.5" outlineLevel="1">
      <c r="A59" s="219">
        <v>9</v>
      </c>
      <c r="B59" s="172" t="s">
        <v>24</v>
      </c>
      <c r="C59" s="173" t="s">
        <v>68</v>
      </c>
      <c r="D59" s="174" t="s">
        <v>250</v>
      </c>
      <c r="E59" s="172" t="s">
        <v>190</v>
      </c>
      <c r="F59" s="175"/>
      <c r="G59" s="176"/>
      <c r="H59" s="177"/>
      <c r="I59" s="361">
        <f>SUM(I60:I63)</f>
        <v>41.21</v>
      </c>
      <c r="J59" s="178">
        <f>SUM(J60:J63)</f>
        <v>19.5</v>
      </c>
      <c r="K59" s="178">
        <f>SUM(I59:J59)</f>
        <v>60.71</v>
      </c>
    </row>
    <row r="60" spans="1:11" outlineLevel="1">
      <c r="A60" s="199"/>
      <c r="B60" s="50" t="s">
        <v>25</v>
      </c>
      <c r="C60" s="53" t="s">
        <v>66</v>
      </c>
      <c r="D60" s="58" t="s">
        <v>276</v>
      </c>
      <c r="E60" s="50" t="s">
        <v>190</v>
      </c>
      <c r="F60" s="51">
        <v>1</v>
      </c>
      <c r="G60" s="52">
        <v>41.21</v>
      </c>
      <c r="H60" s="149"/>
      <c r="I60" s="42">
        <f t="shared" ref="I60" si="12">TRUNC((G60*F60),2)</f>
        <v>41.21</v>
      </c>
      <c r="J60" s="359"/>
      <c r="K60" s="43"/>
    </row>
    <row r="61" spans="1:11" outlineLevel="1">
      <c r="A61" s="199"/>
      <c r="B61" s="50" t="s">
        <v>18</v>
      </c>
      <c r="C61" s="50" t="s">
        <v>33</v>
      </c>
      <c r="D61" s="58" t="s">
        <v>22</v>
      </c>
      <c r="E61" s="50" t="s">
        <v>14</v>
      </c>
      <c r="F61" s="51">
        <v>0.25</v>
      </c>
      <c r="G61" s="52">
        <v>21.07</v>
      </c>
      <c r="H61" s="42"/>
      <c r="I61" s="42">
        <v>0</v>
      </c>
      <c r="J61" s="43">
        <f t="shared" ref="J61:J63" si="13">TRUNC((G61*F61),2)</f>
        <v>5.26</v>
      </c>
      <c r="K61" s="43"/>
    </row>
    <row r="62" spans="1:11" outlineLevel="1">
      <c r="A62" s="199"/>
      <c r="B62" s="50" t="s">
        <v>18</v>
      </c>
      <c r="C62" s="50" t="s">
        <v>35</v>
      </c>
      <c r="D62" s="58" t="s">
        <v>20</v>
      </c>
      <c r="E62" s="50" t="s">
        <v>14</v>
      </c>
      <c r="F62" s="51">
        <v>0.25</v>
      </c>
      <c r="G62" s="52">
        <v>16.45</v>
      </c>
      <c r="H62" s="42"/>
      <c r="I62" s="42">
        <v>0</v>
      </c>
      <c r="J62" s="43">
        <f t="shared" si="13"/>
        <v>4.1100000000000003</v>
      </c>
      <c r="K62" s="43"/>
    </row>
    <row r="63" spans="1:11" ht="51" outlineLevel="1">
      <c r="A63" s="199"/>
      <c r="B63" s="50" t="s">
        <v>18</v>
      </c>
      <c r="C63" s="53" t="s">
        <v>75</v>
      </c>
      <c r="D63" s="120" t="s">
        <v>76</v>
      </c>
      <c r="E63" s="50" t="s">
        <v>19</v>
      </c>
      <c r="F63" s="121">
        <v>0.08</v>
      </c>
      <c r="G63" s="43">
        <v>126.69</v>
      </c>
      <c r="H63" s="43"/>
      <c r="I63" s="32"/>
      <c r="J63" s="43">
        <f t="shared" si="13"/>
        <v>10.130000000000001</v>
      </c>
      <c r="K63" s="43"/>
    </row>
    <row r="64" spans="1:11" outlineLevel="1">
      <c r="A64" s="199"/>
      <c r="B64" s="48"/>
      <c r="C64" s="48"/>
      <c r="D64" s="65"/>
      <c r="E64" s="48"/>
      <c r="F64" s="56"/>
      <c r="G64" s="57"/>
      <c r="H64" s="145"/>
      <c r="I64" s="145"/>
      <c r="J64" s="49"/>
      <c r="K64" s="48"/>
    </row>
    <row r="65" spans="1:13" ht="127.5" outlineLevel="1">
      <c r="A65" s="219">
        <v>10</v>
      </c>
      <c r="B65" s="172" t="s">
        <v>24</v>
      </c>
      <c r="C65" s="173" t="s">
        <v>68</v>
      </c>
      <c r="D65" s="174" t="s">
        <v>100</v>
      </c>
      <c r="E65" s="208"/>
      <c r="F65" s="209"/>
      <c r="G65" s="210"/>
      <c r="H65" s="210"/>
      <c r="I65" s="361">
        <f>SUM(I66:I70)</f>
        <v>1215.25</v>
      </c>
      <c r="J65" s="178">
        <f>SUM(J66:J70)</f>
        <v>57.460000000000008</v>
      </c>
      <c r="K65" s="43">
        <f>TRUNC((J65+I65),2)</f>
        <v>1272.71</v>
      </c>
    </row>
    <row r="66" spans="1:13" outlineLevel="1">
      <c r="A66" s="199"/>
      <c r="B66" s="50" t="s">
        <v>18</v>
      </c>
      <c r="C66" s="50" t="s">
        <v>33</v>
      </c>
      <c r="D66" s="58" t="s">
        <v>22</v>
      </c>
      <c r="E66" s="50" t="s">
        <v>14</v>
      </c>
      <c r="F66" s="51">
        <v>0.35</v>
      </c>
      <c r="G66" s="52">
        <v>21.07</v>
      </c>
      <c r="H66" s="42"/>
      <c r="I66" s="42">
        <v>0</v>
      </c>
      <c r="J66" s="43">
        <f t="shared" ref="J66:J69" si="14">TRUNC((G66*F66),2)</f>
        <v>7.37</v>
      </c>
      <c r="K66" s="43"/>
    </row>
    <row r="67" spans="1:13" outlineLevel="1">
      <c r="A67" s="199"/>
      <c r="B67" s="50" t="s">
        <v>18</v>
      </c>
      <c r="C67" s="50" t="s">
        <v>35</v>
      </c>
      <c r="D67" s="58" t="s">
        <v>20</v>
      </c>
      <c r="E67" s="50" t="s">
        <v>14</v>
      </c>
      <c r="F67" s="51">
        <v>0.35</v>
      </c>
      <c r="G67" s="52">
        <v>16.45</v>
      </c>
      <c r="H67" s="42"/>
      <c r="I67" s="42">
        <v>0</v>
      </c>
      <c r="J67" s="43">
        <f>TRUNC((G67*F67),2)</f>
        <v>5.75</v>
      </c>
      <c r="K67" s="43"/>
    </row>
    <row r="68" spans="1:13" outlineLevel="1">
      <c r="A68" s="199"/>
      <c r="B68" s="200" t="s">
        <v>25</v>
      </c>
      <c r="C68" s="201" t="s">
        <v>263</v>
      </c>
      <c r="D68" s="171" t="s">
        <v>301</v>
      </c>
      <c r="E68" s="50" t="s">
        <v>190</v>
      </c>
      <c r="F68" s="51">
        <v>1</v>
      </c>
      <c r="G68" s="43">
        <v>1215.25</v>
      </c>
      <c r="H68" s="202"/>
      <c r="I68" s="42">
        <f t="shared" ref="I68" si="15">TRUNC((G68*F68),2)</f>
        <v>1215.25</v>
      </c>
      <c r="J68" s="43"/>
      <c r="K68" s="203"/>
    </row>
    <row r="69" spans="1:13" ht="51" outlineLevel="1">
      <c r="A69" s="199"/>
      <c r="B69" s="50" t="s">
        <v>18</v>
      </c>
      <c r="C69" s="53" t="s">
        <v>75</v>
      </c>
      <c r="D69" s="120" t="s">
        <v>76</v>
      </c>
      <c r="E69" s="50" t="s">
        <v>19</v>
      </c>
      <c r="F69" s="121">
        <v>0.35</v>
      </c>
      <c r="G69" s="43">
        <v>126.69</v>
      </c>
      <c r="H69" s="43"/>
      <c r="I69" s="32"/>
      <c r="J69" s="43">
        <f t="shared" si="14"/>
        <v>44.34</v>
      </c>
      <c r="K69" s="43"/>
    </row>
    <row r="70" spans="1:13" outlineLevel="1">
      <c r="A70" s="199"/>
      <c r="B70" s="48"/>
      <c r="C70" s="48"/>
      <c r="D70" s="65"/>
      <c r="E70" s="48"/>
      <c r="F70" s="56"/>
      <c r="G70" s="57"/>
      <c r="H70" s="145"/>
      <c r="I70" s="145"/>
      <c r="J70" s="49"/>
      <c r="K70" s="48"/>
    </row>
    <row r="71" spans="1:13" s="218" customFormat="1" ht="76.5" outlineLevel="1">
      <c r="A71" s="219">
        <v>11</v>
      </c>
      <c r="B71" s="172" t="s">
        <v>24</v>
      </c>
      <c r="C71" s="173" t="s">
        <v>68</v>
      </c>
      <c r="D71" s="174" t="s">
        <v>295</v>
      </c>
      <c r="E71" s="208"/>
      <c r="F71" s="209"/>
      <c r="G71" s="210"/>
      <c r="H71" s="210"/>
      <c r="I71" s="211">
        <f>SUM(I72:I75)</f>
        <v>652.24</v>
      </c>
      <c r="J71" s="211">
        <f>SUM(J72:J75)</f>
        <v>57.463499999999996</v>
      </c>
      <c r="K71" s="43">
        <f>I71+J71</f>
        <v>709.70349999999996</v>
      </c>
      <c r="L71" s="10"/>
      <c r="M71" s="10"/>
    </row>
    <row r="72" spans="1:13" outlineLevel="1">
      <c r="A72" s="199"/>
      <c r="B72" s="50" t="s">
        <v>25</v>
      </c>
      <c r="C72" s="50" t="s">
        <v>261</v>
      </c>
      <c r="D72" s="58" t="s">
        <v>294</v>
      </c>
      <c r="E72" s="50" t="s">
        <v>190</v>
      </c>
      <c r="F72" s="51">
        <v>1</v>
      </c>
      <c r="G72" s="52">
        <v>652.24</v>
      </c>
      <c r="H72" s="42"/>
      <c r="I72" s="42">
        <f>F72*G72</f>
        <v>652.24</v>
      </c>
      <c r="J72" s="43"/>
      <c r="K72" s="43"/>
    </row>
    <row r="73" spans="1:13" outlineLevel="1">
      <c r="A73" s="199"/>
      <c r="B73" s="50" t="s">
        <v>18</v>
      </c>
      <c r="C73" s="50">
        <v>88264</v>
      </c>
      <c r="D73" s="58" t="s">
        <v>22</v>
      </c>
      <c r="E73" s="50" t="s">
        <v>14</v>
      </c>
      <c r="F73" s="51">
        <v>0.35</v>
      </c>
      <c r="G73" s="52">
        <v>21.07</v>
      </c>
      <c r="H73" s="42" t="s">
        <v>293</v>
      </c>
      <c r="I73" s="42"/>
      <c r="J73" s="43">
        <f>F73*G73</f>
        <v>7.3744999999999994</v>
      </c>
      <c r="K73" s="43"/>
    </row>
    <row r="74" spans="1:13" outlineLevel="1">
      <c r="A74" s="199"/>
      <c r="B74" s="200" t="s">
        <v>18</v>
      </c>
      <c r="C74" s="201">
        <v>88316</v>
      </c>
      <c r="D74" s="171" t="s">
        <v>20</v>
      </c>
      <c r="E74" s="50" t="s">
        <v>14</v>
      </c>
      <c r="F74" s="51">
        <v>0.35</v>
      </c>
      <c r="G74" s="43">
        <v>16.45</v>
      </c>
      <c r="H74" s="202" t="s">
        <v>293</v>
      </c>
      <c r="I74" s="42"/>
      <c r="J74" s="43">
        <f>F74*G74-0.01</f>
        <v>5.7474999999999996</v>
      </c>
      <c r="K74" s="203"/>
    </row>
    <row r="75" spans="1:13" ht="51" outlineLevel="1">
      <c r="A75" s="199"/>
      <c r="B75" s="50" t="s">
        <v>18</v>
      </c>
      <c r="C75" s="53" t="s">
        <v>75</v>
      </c>
      <c r="D75" s="120" t="s">
        <v>76</v>
      </c>
      <c r="E75" s="50" t="s">
        <v>14</v>
      </c>
      <c r="F75" s="121">
        <v>0.35</v>
      </c>
      <c r="G75" s="43">
        <v>126.69</v>
      </c>
      <c r="H75" s="43"/>
      <c r="I75" s="32"/>
      <c r="J75" s="43">
        <f t="shared" ref="J74:J75" si="16">F75*G75</f>
        <v>44.341499999999996</v>
      </c>
      <c r="K75" s="43"/>
    </row>
    <row r="76" spans="1:13" outlineLevel="1">
      <c r="A76" s="199"/>
      <c r="B76" s="48"/>
      <c r="C76" s="48"/>
      <c r="D76" s="65"/>
      <c r="E76" s="48"/>
      <c r="F76" s="56"/>
      <c r="G76" s="57"/>
      <c r="H76" s="145"/>
      <c r="I76" s="145"/>
      <c r="J76" s="49"/>
      <c r="K76" s="48"/>
    </row>
    <row r="77" spans="1:13" ht="38.25" outlineLevel="1">
      <c r="A77" s="219">
        <v>12</v>
      </c>
      <c r="B77" s="172" t="s">
        <v>24</v>
      </c>
      <c r="C77" s="173" t="s">
        <v>68</v>
      </c>
      <c r="D77" s="174" t="s">
        <v>313</v>
      </c>
      <c r="E77" s="208" t="s">
        <v>16</v>
      </c>
      <c r="F77" s="209" t="s">
        <v>17</v>
      </c>
      <c r="G77" s="210"/>
      <c r="H77" s="210"/>
      <c r="I77" s="211">
        <f>SUM(I78:I83)</f>
        <v>171.7</v>
      </c>
      <c r="J77" s="210">
        <f>SUM(J78:J83)</f>
        <v>100.86</v>
      </c>
      <c r="K77" s="43">
        <f>J77+I77</f>
        <v>272.56</v>
      </c>
      <c r="L77" s="10" t="s">
        <v>165</v>
      </c>
    </row>
    <row r="78" spans="1:13" outlineLevel="1">
      <c r="A78" s="226"/>
      <c r="B78" s="50" t="s">
        <v>18</v>
      </c>
      <c r="C78" s="53" t="s">
        <v>35</v>
      </c>
      <c r="D78" s="120" t="s">
        <v>20</v>
      </c>
      <c r="E78" s="50" t="s">
        <v>14</v>
      </c>
      <c r="F78" s="121">
        <v>1</v>
      </c>
      <c r="G78" s="43">
        <v>16.45</v>
      </c>
      <c r="H78" s="43"/>
      <c r="I78" s="43">
        <v>0</v>
      </c>
      <c r="J78" s="33">
        <f t="shared" ref="J78:J80" si="17">TRUNC((G78*F78),2)</f>
        <v>16.45</v>
      </c>
      <c r="K78" s="43"/>
    </row>
    <row r="79" spans="1:13" outlineLevel="1">
      <c r="A79" s="226"/>
      <c r="B79" s="31" t="s">
        <v>18</v>
      </c>
      <c r="C79" s="53" t="s">
        <v>33</v>
      </c>
      <c r="D79" s="58" t="s">
        <v>22</v>
      </c>
      <c r="E79" s="50" t="s">
        <v>14</v>
      </c>
      <c r="F79" s="121">
        <v>1</v>
      </c>
      <c r="G79" s="52">
        <v>21.07</v>
      </c>
      <c r="H79" s="54"/>
      <c r="I79" s="32">
        <v>0</v>
      </c>
      <c r="J79" s="33">
        <f t="shared" si="17"/>
        <v>21.07</v>
      </c>
      <c r="K79" s="54"/>
    </row>
    <row r="80" spans="1:13" ht="51" outlineLevel="1">
      <c r="A80" s="226"/>
      <c r="B80" s="50" t="s">
        <v>18</v>
      </c>
      <c r="C80" s="53" t="s">
        <v>75</v>
      </c>
      <c r="D80" s="120" t="s">
        <v>76</v>
      </c>
      <c r="E80" s="50" t="s">
        <v>19</v>
      </c>
      <c r="F80" s="121">
        <v>0.5</v>
      </c>
      <c r="G80" s="43">
        <v>126.69</v>
      </c>
      <c r="H80" s="43"/>
      <c r="I80" s="43">
        <v>0</v>
      </c>
      <c r="J80" s="33">
        <f t="shared" si="17"/>
        <v>63.34</v>
      </c>
      <c r="K80" s="43"/>
    </row>
    <row r="81" spans="1:12" ht="25.5" outlineLevel="1">
      <c r="A81" s="227"/>
      <c r="B81" s="50" t="s">
        <v>25</v>
      </c>
      <c r="C81" s="53" t="s">
        <v>254</v>
      </c>
      <c r="D81" s="120" t="s">
        <v>320</v>
      </c>
      <c r="E81" s="50" t="s">
        <v>16</v>
      </c>
      <c r="F81" s="121">
        <v>1</v>
      </c>
      <c r="G81" s="43">
        <v>156.76</v>
      </c>
      <c r="H81" s="43"/>
      <c r="I81" s="32">
        <f>F81*G81</f>
        <v>156.76</v>
      </c>
      <c r="J81" s="43">
        <v>0</v>
      </c>
      <c r="K81" s="43"/>
    </row>
    <row r="82" spans="1:12" outlineLevel="1">
      <c r="A82" s="227"/>
      <c r="B82" s="50" t="s">
        <v>23</v>
      </c>
      <c r="C82" s="53">
        <v>429</v>
      </c>
      <c r="D82" s="120" t="s">
        <v>314</v>
      </c>
      <c r="E82" s="50" t="s">
        <v>16</v>
      </c>
      <c r="F82" s="121">
        <v>2</v>
      </c>
      <c r="G82" s="43">
        <v>6.94</v>
      </c>
      <c r="H82" s="43"/>
      <c r="I82" s="32">
        <f t="shared" ref="I82:I83" si="18">TRUNC((G82*F82),2)</f>
        <v>13.88</v>
      </c>
      <c r="J82" s="43">
        <v>0</v>
      </c>
      <c r="K82" s="43"/>
    </row>
    <row r="83" spans="1:12" ht="25.5" outlineLevel="1">
      <c r="A83" s="227"/>
      <c r="B83" s="50" t="s">
        <v>23</v>
      </c>
      <c r="C83" s="53">
        <v>13348</v>
      </c>
      <c r="D83" s="214" t="s">
        <v>315</v>
      </c>
      <c r="E83" s="50" t="s">
        <v>190</v>
      </c>
      <c r="F83" s="121">
        <v>2</v>
      </c>
      <c r="G83" s="43">
        <v>0.53</v>
      </c>
      <c r="H83" s="43"/>
      <c r="I83" s="32">
        <f t="shared" si="18"/>
        <v>1.06</v>
      </c>
      <c r="J83" s="43"/>
      <c r="K83" s="43"/>
    </row>
    <row r="84" spans="1:12" outlineLevel="1">
      <c r="B84" s="159"/>
      <c r="C84" s="160"/>
      <c r="D84" s="161" t="s">
        <v>99</v>
      </c>
      <c r="E84" s="160"/>
      <c r="F84" s="162"/>
      <c r="G84" s="163"/>
      <c r="H84" s="164"/>
      <c r="I84" s="164"/>
      <c r="J84" s="165"/>
      <c r="K84" s="166"/>
    </row>
    <row r="85" spans="1:12">
      <c r="A85" s="199"/>
      <c r="B85" s="48"/>
      <c r="C85" s="48"/>
      <c r="D85" s="65"/>
      <c r="E85" s="48"/>
      <c r="F85" s="56"/>
      <c r="G85" s="57"/>
      <c r="H85" s="145"/>
      <c r="I85" s="145"/>
      <c r="J85" s="49"/>
      <c r="K85" s="48"/>
    </row>
    <row r="86" spans="1:12">
      <c r="A86" s="228">
        <v>13</v>
      </c>
      <c r="B86" s="151" t="s">
        <v>24</v>
      </c>
      <c r="C86" s="151" t="s">
        <v>68</v>
      </c>
      <c r="D86" s="152" t="s">
        <v>325</v>
      </c>
      <c r="E86" s="151" t="s">
        <v>16</v>
      </c>
      <c r="F86" s="157" t="s">
        <v>17</v>
      </c>
      <c r="G86" s="148"/>
      <c r="H86" s="156"/>
      <c r="I86" s="143">
        <f>SUM(I87:I89)</f>
        <v>7.65</v>
      </c>
      <c r="J86" s="144">
        <f>SUM(J87:J89)</f>
        <v>1.86</v>
      </c>
      <c r="K86" s="43">
        <f>TRUNC((J86+I86),2)</f>
        <v>9.51</v>
      </c>
      <c r="L86" s="10" t="s">
        <v>165</v>
      </c>
    </row>
    <row r="87" spans="1:12">
      <c r="B87" s="50" t="s">
        <v>18</v>
      </c>
      <c r="C87" s="50" t="s">
        <v>33</v>
      </c>
      <c r="D87" s="58" t="s">
        <v>22</v>
      </c>
      <c r="E87" s="50" t="s">
        <v>14</v>
      </c>
      <c r="F87" s="51">
        <v>0.05</v>
      </c>
      <c r="G87" s="52">
        <v>21.07</v>
      </c>
      <c r="H87" s="54"/>
      <c r="I87" s="42">
        <v>0</v>
      </c>
      <c r="J87" s="43">
        <f t="shared" ref="J87:J88" si="19">TRUNC((G87*F87),2)</f>
        <v>1.05</v>
      </c>
      <c r="K87" s="54"/>
    </row>
    <row r="88" spans="1:12">
      <c r="B88" s="50" t="s">
        <v>18</v>
      </c>
      <c r="C88" s="50" t="s">
        <v>34</v>
      </c>
      <c r="D88" s="58" t="s">
        <v>21</v>
      </c>
      <c r="E88" s="50" t="s">
        <v>14</v>
      </c>
      <c r="F88" s="51">
        <v>0.05</v>
      </c>
      <c r="G88" s="52">
        <v>16.32</v>
      </c>
      <c r="H88" s="54"/>
      <c r="I88" s="42">
        <v>0</v>
      </c>
      <c r="J88" s="43">
        <f t="shared" si="19"/>
        <v>0.81</v>
      </c>
      <c r="K88" s="43"/>
      <c r="L88" s="158" t="s">
        <v>167</v>
      </c>
    </row>
    <row r="89" spans="1:12">
      <c r="B89" s="50" t="s">
        <v>25</v>
      </c>
      <c r="C89" s="50" t="s">
        <v>255</v>
      </c>
      <c r="D89" s="58" t="s">
        <v>326</v>
      </c>
      <c r="E89" s="50" t="s">
        <v>16</v>
      </c>
      <c r="F89" s="51">
        <v>1</v>
      </c>
      <c r="G89" s="52">
        <v>7.65</v>
      </c>
      <c r="H89" s="54"/>
      <c r="I89" s="42">
        <f>F89*G89</f>
        <v>7.65</v>
      </c>
      <c r="J89" s="43">
        <v>0</v>
      </c>
      <c r="K89" s="54"/>
    </row>
    <row r="90" spans="1:12">
      <c r="B90" s="159"/>
      <c r="C90" s="160"/>
      <c r="D90" s="161" t="s">
        <v>101</v>
      </c>
      <c r="E90" s="160"/>
      <c r="F90" s="162"/>
      <c r="G90" s="163"/>
      <c r="H90" s="164"/>
      <c r="I90" s="164"/>
      <c r="J90" s="165"/>
      <c r="K90" s="166"/>
    </row>
    <row r="91" spans="1:12">
      <c r="A91" s="199"/>
      <c r="B91" s="48"/>
      <c r="C91" s="48"/>
      <c r="D91" s="65"/>
      <c r="E91" s="48"/>
      <c r="F91" s="56"/>
      <c r="G91" s="57"/>
      <c r="H91" s="145"/>
      <c r="I91" s="145"/>
      <c r="J91" s="49"/>
      <c r="K91" s="48"/>
    </row>
    <row r="92" spans="1:12" ht="25.5">
      <c r="A92" s="219">
        <v>14</v>
      </c>
      <c r="B92" s="124" t="s">
        <v>24</v>
      </c>
      <c r="C92" s="125" t="s">
        <v>68</v>
      </c>
      <c r="D92" s="146" t="s">
        <v>328</v>
      </c>
      <c r="E92" s="124" t="s">
        <v>16</v>
      </c>
      <c r="F92" s="147" t="s">
        <v>17</v>
      </c>
      <c r="G92" s="148"/>
      <c r="H92" s="149"/>
      <c r="I92" s="143">
        <f>SUM(I93:I95)</f>
        <v>16.66</v>
      </c>
      <c r="J92" s="359">
        <f>SUM(J93:J95)</f>
        <v>1.87</v>
      </c>
      <c r="K92" s="43">
        <f>TRUNC((J92+I92),2)</f>
        <v>18.53</v>
      </c>
      <c r="L92" s="10" t="s">
        <v>165</v>
      </c>
    </row>
    <row r="93" spans="1:12">
      <c r="A93" s="199"/>
      <c r="B93" s="50" t="s">
        <v>18</v>
      </c>
      <c r="C93" s="50">
        <v>88316</v>
      </c>
      <c r="D93" s="58" t="s">
        <v>20</v>
      </c>
      <c r="E93" s="50" t="s">
        <v>14</v>
      </c>
      <c r="F93" s="51">
        <v>0.05</v>
      </c>
      <c r="G93" s="52">
        <v>16.45</v>
      </c>
      <c r="H93" s="42"/>
      <c r="I93" s="42">
        <v>0</v>
      </c>
      <c r="J93" s="43">
        <f t="shared" ref="J93:J94" si="20">TRUNC((G93*F93),2)</f>
        <v>0.82</v>
      </c>
      <c r="K93" s="43"/>
    </row>
    <row r="94" spans="1:12">
      <c r="A94" s="199"/>
      <c r="B94" s="50" t="s">
        <v>18</v>
      </c>
      <c r="C94" s="50" t="s">
        <v>33</v>
      </c>
      <c r="D94" s="58" t="s">
        <v>22</v>
      </c>
      <c r="E94" s="50" t="s">
        <v>14</v>
      </c>
      <c r="F94" s="51">
        <v>0.05</v>
      </c>
      <c r="G94" s="52">
        <v>21.07</v>
      </c>
      <c r="H94" s="42"/>
      <c r="I94" s="42">
        <v>0</v>
      </c>
      <c r="J94" s="43">
        <f t="shared" si="20"/>
        <v>1.05</v>
      </c>
      <c r="K94" s="43"/>
    </row>
    <row r="95" spans="1:12">
      <c r="A95" s="199"/>
      <c r="B95" s="50" t="s">
        <v>23</v>
      </c>
      <c r="C95" s="50">
        <v>2510</v>
      </c>
      <c r="D95" s="58" t="s">
        <v>102</v>
      </c>
      <c r="E95" s="50" t="s">
        <v>16</v>
      </c>
      <c r="F95" s="51">
        <v>1</v>
      </c>
      <c r="G95" s="52">
        <v>16.66</v>
      </c>
      <c r="H95" s="42"/>
      <c r="I95" s="42">
        <f t="shared" ref="I95" si="21">TRUNC((G95*F95),2)</f>
        <v>16.66</v>
      </c>
      <c r="J95" s="43">
        <v>0</v>
      </c>
      <c r="K95" s="50"/>
    </row>
    <row r="96" spans="1:12">
      <c r="A96" s="199"/>
      <c r="B96" s="159"/>
      <c r="C96" s="160"/>
      <c r="D96" s="161" t="s">
        <v>103</v>
      </c>
      <c r="E96" s="160"/>
      <c r="F96" s="162"/>
      <c r="G96" s="163"/>
      <c r="H96" s="164"/>
      <c r="I96" s="164"/>
      <c r="J96" s="165"/>
      <c r="K96" s="166"/>
    </row>
    <row r="97" spans="1:12">
      <c r="A97" s="227"/>
      <c r="B97" s="48"/>
      <c r="C97" s="48"/>
      <c r="D97" s="170"/>
      <c r="E97" s="48"/>
      <c r="F97" s="56"/>
      <c r="G97" s="57"/>
      <c r="H97" s="145"/>
      <c r="I97" s="145"/>
      <c r="J97" s="49"/>
      <c r="K97" s="49"/>
    </row>
    <row r="98" spans="1:12" ht="38.25">
      <c r="A98" s="228">
        <v>15</v>
      </c>
      <c r="B98" s="151" t="s">
        <v>24</v>
      </c>
      <c r="C98" s="151" t="s">
        <v>68</v>
      </c>
      <c r="D98" s="152" t="s">
        <v>322</v>
      </c>
      <c r="E98" s="153" t="s">
        <v>180</v>
      </c>
      <c r="F98" s="154"/>
      <c r="G98" s="155"/>
      <c r="H98" s="156"/>
      <c r="I98" s="143">
        <f>SUM(I99:I101)</f>
        <v>227.16</v>
      </c>
      <c r="J98" s="144">
        <f>SUM(J99:J101)</f>
        <v>7.47</v>
      </c>
      <c r="K98" s="43">
        <f>TRUNC((J98+I98),2)</f>
        <v>234.63</v>
      </c>
    </row>
    <row r="99" spans="1:12">
      <c r="B99" s="50" t="s">
        <v>18</v>
      </c>
      <c r="C99" s="50" t="s">
        <v>34</v>
      </c>
      <c r="D99" s="58" t="s">
        <v>21</v>
      </c>
      <c r="E99" s="50" t="s">
        <v>14</v>
      </c>
      <c r="F99" s="51">
        <v>0.2</v>
      </c>
      <c r="G99" s="52">
        <v>16.32</v>
      </c>
      <c r="H99" s="54"/>
      <c r="I99" s="42">
        <v>0</v>
      </c>
      <c r="J99" s="43">
        <f>TRUNC((G99*F99),2)</f>
        <v>3.26</v>
      </c>
      <c r="K99" s="54"/>
    </row>
    <row r="100" spans="1:12">
      <c r="B100" s="50" t="s">
        <v>18</v>
      </c>
      <c r="C100" s="50" t="s">
        <v>33</v>
      </c>
      <c r="D100" s="58" t="s">
        <v>22</v>
      </c>
      <c r="E100" s="50" t="s">
        <v>14</v>
      </c>
      <c r="F100" s="51">
        <v>0.2</v>
      </c>
      <c r="G100" s="52">
        <v>21.07</v>
      </c>
      <c r="H100" s="54"/>
      <c r="I100" s="42">
        <v>0</v>
      </c>
      <c r="J100" s="43">
        <f>TRUNC((G100*F100),2)</f>
        <v>4.21</v>
      </c>
      <c r="K100" s="54"/>
    </row>
    <row r="101" spans="1:12" ht="25.5">
      <c r="B101" s="50" t="s">
        <v>23</v>
      </c>
      <c r="C101" s="50" t="s">
        <v>535</v>
      </c>
      <c r="D101" s="58" t="s">
        <v>333</v>
      </c>
      <c r="E101" s="50" t="s">
        <v>16</v>
      </c>
      <c r="F101" s="51">
        <v>1</v>
      </c>
      <c r="G101" s="52">
        <v>227.16</v>
      </c>
      <c r="H101" s="42"/>
      <c r="I101" s="42">
        <f t="shared" ref="I101" si="22">TRUNC((G101*F101),2)</f>
        <v>227.16</v>
      </c>
      <c r="J101" s="43">
        <v>0</v>
      </c>
      <c r="K101" s="43"/>
    </row>
    <row r="102" spans="1:12">
      <c r="B102" s="159"/>
      <c r="C102" s="160"/>
      <c r="D102" s="161" t="s">
        <v>164</v>
      </c>
      <c r="E102" s="160"/>
      <c r="F102" s="162"/>
      <c r="G102" s="163"/>
      <c r="H102" s="164"/>
      <c r="I102" s="164"/>
      <c r="J102" s="165"/>
      <c r="K102" s="166"/>
    </row>
    <row r="104" spans="1:12" ht="25.5">
      <c r="A104" s="225">
        <v>16</v>
      </c>
      <c r="B104" s="151" t="s">
        <v>24</v>
      </c>
      <c r="C104" s="151" t="s">
        <v>68</v>
      </c>
      <c r="D104" s="152" t="s">
        <v>163</v>
      </c>
      <c r="E104" s="151" t="s">
        <v>1</v>
      </c>
      <c r="F104" s="151" t="s">
        <v>17</v>
      </c>
      <c r="G104" s="152"/>
      <c r="H104" s="152">
        <f>SUM(H105:H108)</f>
        <v>1.36</v>
      </c>
      <c r="I104" s="167">
        <f>SUM(I105:I108)</f>
        <v>1.36</v>
      </c>
      <c r="J104" s="167">
        <f>SUM(J105:J108)</f>
        <v>0.92</v>
      </c>
      <c r="K104" s="168">
        <f>TRUNC((J104+I104),2)</f>
        <v>2.2799999999999998</v>
      </c>
      <c r="L104" s="158" t="s">
        <v>166</v>
      </c>
    </row>
    <row r="105" spans="1:12" ht="25.5">
      <c r="B105" s="50" t="s">
        <v>23</v>
      </c>
      <c r="C105" s="50">
        <v>404</v>
      </c>
      <c r="D105" s="58" t="s">
        <v>162</v>
      </c>
      <c r="E105" s="50" t="s">
        <v>1</v>
      </c>
      <c r="F105" s="51">
        <v>1</v>
      </c>
      <c r="G105" s="52">
        <v>1.36</v>
      </c>
      <c r="H105" s="42">
        <f t="shared" ref="H105" si="23">G105*F105</f>
        <v>1.36</v>
      </c>
      <c r="I105" s="42">
        <f t="shared" ref="I105" si="24">TRUNC((G105*F105),2)</f>
        <v>1.36</v>
      </c>
      <c r="J105" s="43"/>
      <c r="K105" s="43"/>
    </row>
    <row r="106" spans="1:12">
      <c r="B106" s="50" t="s">
        <v>18</v>
      </c>
      <c r="C106" s="50" t="s">
        <v>34</v>
      </c>
      <c r="D106" s="58" t="s">
        <v>21</v>
      </c>
      <c r="E106" s="50" t="s">
        <v>14</v>
      </c>
      <c r="F106" s="221">
        <v>2.5000000000000001E-2</v>
      </c>
      <c r="G106" s="222">
        <v>16.32</v>
      </c>
      <c r="H106" s="42"/>
      <c r="I106" s="42"/>
      <c r="J106" s="43">
        <f t="shared" ref="J106:J107" si="25">TRUNC((G106*F106),2)</f>
        <v>0.4</v>
      </c>
      <c r="K106" s="43"/>
    </row>
    <row r="107" spans="1:12">
      <c r="B107" s="50" t="s">
        <v>18</v>
      </c>
      <c r="C107" s="50" t="s">
        <v>33</v>
      </c>
      <c r="D107" s="58" t="s">
        <v>22</v>
      </c>
      <c r="E107" s="50" t="s">
        <v>14</v>
      </c>
      <c r="F107" s="221">
        <v>2.5000000000000001E-2</v>
      </c>
      <c r="G107" s="222">
        <v>21.07</v>
      </c>
      <c r="H107" s="42"/>
      <c r="I107" s="42"/>
      <c r="J107" s="43">
        <f t="shared" si="25"/>
        <v>0.52</v>
      </c>
      <c r="K107" s="43"/>
    </row>
    <row r="108" spans="1:12">
      <c r="B108" s="159"/>
      <c r="C108" s="160"/>
      <c r="D108" s="161" t="s">
        <v>164</v>
      </c>
      <c r="E108" s="160"/>
      <c r="F108" s="162"/>
      <c r="G108" s="163"/>
      <c r="H108" s="164"/>
      <c r="I108" s="164"/>
      <c r="J108" s="165"/>
      <c r="K108" s="166"/>
    </row>
    <row r="109" spans="1:12">
      <c r="B109" s="48"/>
      <c r="C109" s="48"/>
      <c r="D109" s="170"/>
      <c r="E109" s="48"/>
      <c r="F109" s="56"/>
      <c r="G109" s="57"/>
      <c r="H109" s="145"/>
      <c r="I109" s="145"/>
      <c r="J109" s="49"/>
      <c r="K109" s="49"/>
    </row>
    <row r="110" spans="1:12" ht="25.5">
      <c r="A110" s="225">
        <v>17</v>
      </c>
      <c r="B110" s="151" t="s">
        <v>24</v>
      </c>
      <c r="C110" s="151" t="s">
        <v>68</v>
      </c>
      <c r="D110" s="152" t="s">
        <v>536</v>
      </c>
      <c r="E110" s="151" t="s">
        <v>1</v>
      </c>
      <c r="F110" s="151" t="s">
        <v>17</v>
      </c>
      <c r="G110" s="152"/>
      <c r="H110" s="152">
        <f>SUM(H111:H114)</f>
        <v>10</v>
      </c>
      <c r="I110" s="167">
        <f>SUM(I111:I114)</f>
        <v>10</v>
      </c>
      <c r="J110" s="167">
        <f>SUM(J111:J114)</f>
        <v>0.92</v>
      </c>
      <c r="K110" s="168">
        <f>TRUNC((J110+I110),2)</f>
        <v>10.92</v>
      </c>
    </row>
    <row r="111" spans="1:12">
      <c r="B111" s="50" t="s">
        <v>23</v>
      </c>
      <c r="C111" s="50">
        <v>20111</v>
      </c>
      <c r="D111" s="58" t="s">
        <v>337</v>
      </c>
      <c r="E111" s="50" t="s">
        <v>190</v>
      </c>
      <c r="F111" s="221">
        <v>1</v>
      </c>
      <c r="G111" s="222">
        <v>10</v>
      </c>
      <c r="H111" s="42">
        <f t="shared" ref="H111" si="26">G111*F111</f>
        <v>10</v>
      </c>
      <c r="I111" s="42">
        <f t="shared" ref="I111" si="27">TRUNC((G111*F111),2)</f>
        <v>10</v>
      </c>
      <c r="J111" s="43"/>
      <c r="K111" s="43"/>
    </row>
    <row r="112" spans="1:12">
      <c r="B112" s="50" t="s">
        <v>18</v>
      </c>
      <c r="C112" s="50" t="s">
        <v>34</v>
      </c>
      <c r="D112" s="58" t="s">
        <v>21</v>
      </c>
      <c r="E112" s="50" t="s">
        <v>14</v>
      </c>
      <c r="F112" s="221">
        <v>2.5000000000000001E-2</v>
      </c>
      <c r="G112" s="222">
        <v>16.32</v>
      </c>
      <c r="H112" s="42"/>
      <c r="I112" s="42"/>
      <c r="J112" s="43">
        <f t="shared" ref="J112:J113" si="28">TRUNC((G112*F112),2)</f>
        <v>0.4</v>
      </c>
      <c r="K112" s="43"/>
    </row>
    <row r="113" spans="1:11">
      <c r="B113" s="50" t="s">
        <v>18</v>
      </c>
      <c r="C113" s="50" t="s">
        <v>33</v>
      </c>
      <c r="D113" s="58" t="s">
        <v>22</v>
      </c>
      <c r="E113" s="50" t="s">
        <v>14</v>
      </c>
      <c r="F113" s="221">
        <v>2.5000000000000001E-2</v>
      </c>
      <c r="G113" s="222">
        <v>21.07</v>
      </c>
      <c r="H113" s="42"/>
      <c r="I113" s="42"/>
      <c r="J113" s="43">
        <f t="shared" si="28"/>
        <v>0.52</v>
      </c>
      <c r="K113" s="43"/>
    </row>
    <row r="114" spans="1:11">
      <c r="B114" s="159"/>
      <c r="C114" s="160"/>
      <c r="D114" s="161" t="s">
        <v>164</v>
      </c>
      <c r="E114" s="160"/>
      <c r="F114" s="223"/>
      <c r="G114" s="224"/>
      <c r="H114" s="164"/>
      <c r="I114" s="164"/>
      <c r="J114" s="165"/>
      <c r="K114" s="166"/>
    </row>
    <row r="115" spans="1:11">
      <c r="B115" s="48"/>
      <c r="C115" s="48"/>
      <c r="D115" s="170"/>
      <c r="E115" s="48"/>
      <c r="F115" s="56"/>
      <c r="G115" s="57"/>
      <c r="H115" s="145"/>
      <c r="I115" s="145"/>
      <c r="J115" s="49"/>
      <c r="K115" s="49"/>
    </row>
    <row r="116" spans="1:11" ht="25.5">
      <c r="A116" s="225">
        <v>18</v>
      </c>
      <c r="B116" s="151" t="s">
        <v>24</v>
      </c>
      <c r="C116" s="151" t="s">
        <v>25</v>
      </c>
      <c r="D116" s="152" t="s">
        <v>343</v>
      </c>
      <c r="E116" s="151" t="s">
        <v>16</v>
      </c>
      <c r="F116" s="151" t="s">
        <v>17</v>
      </c>
      <c r="G116" s="152"/>
      <c r="H116" s="152">
        <f>SUM(H117:H137)</f>
        <v>16.259999999999998</v>
      </c>
      <c r="I116" s="167">
        <f>SUM(I117:I119)</f>
        <v>8.26</v>
      </c>
      <c r="J116" s="167">
        <f>SUM(J117:J119)</f>
        <v>1.86</v>
      </c>
      <c r="K116" s="168">
        <f>TRUNC((J116+I116),2)</f>
        <v>10.119999999999999</v>
      </c>
    </row>
    <row r="117" spans="1:11">
      <c r="B117" s="50" t="s">
        <v>25</v>
      </c>
      <c r="C117" s="50" t="s">
        <v>273</v>
      </c>
      <c r="D117" s="58" t="s">
        <v>341</v>
      </c>
      <c r="E117" s="50" t="s">
        <v>16</v>
      </c>
      <c r="F117" s="51">
        <v>1</v>
      </c>
      <c r="G117" s="52">
        <v>8.26</v>
      </c>
      <c r="H117" s="42">
        <f t="shared" ref="H117" si="29">G117*F117</f>
        <v>8.26</v>
      </c>
      <c r="I117" s="42">
        <f t="shared" ref="I117" si="30">TRUNC((G117*F117),2)</f>
        <v>8.26</v>
      </c>
      <c r="J117" s="43"/>
      <c r="K117" s="43"/>
    </row>
    <row r="118" spans="1:11">
      <c r="B118" s="50" t="s">
        <v>18</v>
      </c>
      <c r="C118" s="50" t="s">
        <v>34</v>
      </c>
      <c r="D118" s="58" t="s">
        <v>21</v>
      </c>
      <c r="E118" s="50" t="s">
        <v>14</v>
      </c>
      <c r="F118" s="51">
        <v>0.05</v>
      </c>
      <c r="G118" s="222">
        <v>16.32</v>
      </c>
      <c r="H118" s="42"/>
      <c r="I118" s="42"/>
      <c r="J118" s="43">
        <f t="shared" ref="J118:J119" si="31">TRUNC((G118*F118),2)</f>
        <v>0.81</v>
      </c>
      <c r="K118" s="43"/>
    </row>
    <row r="119" spans="1:11">
      <c r="B119" s="50" t="s">
        <v>18</v>
      </c>
      <c r="C119" s="50" t="s">
        <v>33</v>
      </c>
      <c r="D119" s="58" t="s">
        <v>22</v>
      </c>
      <c r="E119" s="50" t="s">
        <v>14</v>
      </c>
      <c r="F119" s="51">
        <v>0.05</v>
      </c>
      <c r="G119" s="52">
        <v>21.07</v>
      </c>
      <c r="H119" s="42"/>
      <c r="I119" s="42"/>
      <c r="J119" s="43">
        <f t="shared" si="31"/>
        <v>1.05</v>
      </c>
      <c r="K119" s="43"/>
    </row>
    <row r="120" spans="1:11">
      <c r="B120" s="48"/>
      <c r="C120" s="48"/>
      <c r="D120" s="170"/>
      <c r="E120" s="48"/>
      <c r="F120" s="56"/>
      <c r="G120" s="57"/>
      <c r="H120" s="145"/>
      <c r="I120" s="145"/>
      <c r="J120" s="49"/>
      <c r="K120" s="49"/>
    </row>
    <row r="121" spans="1:11" ht="38.25">
      <c r="A121" s="225">
        <v>19</v>
      </c>
      <c r="B121" s="151" t="s">
        <v>24</v>
      </c>
      <c r="C121" s="151" t="s">
        <v>25</v>
      </c>
      <c r="D121" s="152" t="s">
        <v>538</v>
      </c>
      <c r="E121" s="151" t="s">
        <v>16</v>
      </c>
      <c r="F121" s="151" t="s">
        <v>17</v>
      </c>
      <c r="G121" s="152"/>
      <c r="H121" s="152">
        <f>SUM(H122:H142)</f>
        <v>4</v>
      </c>
      <c r="I121" s="167">
        <f>SUM(I122:I124)</f>
        <v>4</v>
      </c>
      <c r="J121" s="167">
        <f>SUM(J122:J124)</f>
        <v>1.86</v>
      </c>
      <c r="K121" s="168">
        <f>TRUNC((J121+I121),2)</f>
        <v>5.86</v>
      </c>
    </row>
    <row r="122" spans="1:11">
      <c r="B122" s="50" t="s">
        <v>25</v>
      </c>
      <c r="C122" s="50" t="s">
        <v>273</v>
      </c>
      <c r="D122" s="58" t="s">
        <v>342</v>
      </c>
      <c r="E122" s="50" t="s">
        <v>16</v>
      </c>
      <c r="F122" s="51">
        <v>1</v>
      </c>
      <c r="G122" s="52">
        <v>4</v>
      </c>
      <c r="H122" s="42">
        <f t="shared" ref="H122" si="32">G122*F122</f>
        <v>4</v>
      </c>
      <c r="I122" s="42">
        <f t="shared" ref="I122" si="33">TRUNC((G122*F122),2)</f>
        <v>4</v>
      </c>
      <c r="J122" s="43"/>
      <c r="K122" s="43"/>
    </row>
    <row r="123" spans="1:11">
      <c r="B123" s="50" t="s">
        <v>18</v>
      </c>
      <c r="C123" s="50" t="s">
        <v>34</v>
      </c>
      <c r="D123" s="58" t="s">
        <v>21</v>
      </c>
      <c r="E123" s="50" t="s">
        <v>14</v>
      </c>
      <c r="F123" s="51">
        <v>0.05</v>
      </c>
      <c r="G123" s="222">
        <v>16.32</v>
      </c>
      <c r="H123" s="42"/>
      <c r="I123" s="42"/>
      <c r="J123" s="43">
        <f t="shared" ref="J123:J124" si="34">TRUNC((G123*F123),2)</f>
        <v>0.81</v>
      </c>
      <c r="K123" s="43"/>
    </row>
    <row r="124" spans="1:11">
      <c r="B124" s="50" t="s">
        <v>18</v>
      </c>
      <c r="C124" s="50" t="s">
        <v>33</v>
      </c>
      <c r="D124" s="58" t="s">
        <v>22</v>
      </c>
      <c r="E124" s="50" t="s">
        <v>14</v>
      </c>
      <c r="F124" s="51">
        <v>0.05</v>
      </c>
      <c r="G124" s="52">
        <v>21.07</v>
      </c>
      <c r="H124" s="42"/>
      <c r="I124" s="42"/>
      <c r="J124" s="43">
        <f t="shared" si="34"/>
        <v>1.05</v>
      </c>
      <c r="K124" s="43"/>
    </row>
    <row r="125" spans="1:11">
      <c r="D125" s="360"/>
    </row>
  </sheetData>
  <mergeCells count="13">
    <mergeCell ref="A6:K6"/>
    <mergeCell ref="A8:A9"/>
    <mergeCell ref="H8:H9"/>
    <mergeCell ref="I8:I9"/>
    <mergeCell ref="J8:J9"/>
    <mergeCell ref="K8:K9"/>
    <mergeCell ref="B8:B9"/>
    <mergeCell ref="C8:C9"/>
    <mergeCell ref="D8:D9"/>
    <mergeCell ref="E8:E9"/>
    <mergeCell ref="F8:F9"/>
    <mergeCell ref="G8:G9"/>
    <mergeCell ref="E7:K7"/>
  </mergeCells>
  <conditionalFormatting sqref="I17 K17 G35:H35 K35">
    <cfRule type="expression" dxfId="179" priority="11364" stopIfTrue="1">
      <formula>AND($B17&lt;&gt;"COMPOSICAO",$B17&lt;&gt;"INSUMO",$B17&lt;&gt;"")</formula>
    </cfRule>
    <cfRule type="expression" dxfId="178" priority="11365" stopIfTrue="1">
      <formula>AND(OR($B17="COMPOSICAO",$B17="INSUMO",$B17&lt;&gt;""),$B17&lt;&gt;"")</formula>
    </cfRule>
  </conditionalFormatting>
  <conditionalFormatting sqref="J17">
    <cfRule type="expression" dxfId="177" priority="10984" stopIfTrue="1">
      <formula>AND($B17&lt;&gt;"COMPOSICAO",$B17&lt;&gt;"INSUMO",$B17&lt;&gt;"")</formula>
    </cfRule>
    <cfRule type="expression" dxfId="176" priority="10985" stopIfTrue="1">
      <formula>AND(OR($B17="COMPOSICAO",$B17="INSUMO",$B17&lt;&gt;""),$B17&lt;&gt;"")</formula>
    </cfRule>
  </conditionalFormatting>
  <conditionalFormatting sqref="F37:F38 D65:F65 B63:F63 B80:F83">
    <cfRule type="expression" dxfId="175" priority="1229" stopIfTrue="1">
      <formula>AND($A37&lt;&gt;"COMPOSICAO",$A37&lt;&gt;"INSUMO",$A37&lt;&gt;"")</formula>
    </cfRule>
    <cfRule type="expression" dxfId="174" priority="1230" stopIfTrue="1">
      <formula>AND(OR($A37="COMPOSICAO",$A37="INSUMO",$A37&lt;&gt;""),$A37&lt;&gt;"")</formula>
    </cfRule>
  </conditionalFormatting>
  <conditionalFormatting sqref="D78:F78 B78">
    <cfRule type="expression" dxfId="173" priority="1193" stopIfTrue="1">
      <formula>AND($A78&lt;&gt;"COMPOSICAO",$A78&lt;&gt;"INSUMO",$A78&lt;&gt;"")</formula>
    </cfRule>
    <cfRule type="expression" dxfId="172" priority="1194" stopIfTrue="1">
      <formula>AND(OR($A78="COMPOSICAO",$A78="INSUMO",$A78&lt;&gt;""),$A78&lt;&gt;"")</formula>
    </cfRule>
  </conditionalFormatting>
  <conditionalFormatting sqref="C78:F78">
    <cfRule type="expression" dxfId="171" priority="1191" stopIfTrue="1">
      <formula>AND($A78&lt;&gt;"COMPOSICAO",$A78&lt;&gt;"INSUMO",$A78&lt;&gt;"")</formula>
    </cfRule>
    <cfRule type="expression" dxfId="170" priority="1192" stopIfTrue="1">
      <formula>AND(OR($A78="COMPOSICAO",$A78="INSUMO",$A78&lt;&gt;""),$A78&lt;&gt;"")</formula>
    </cfRule>
  </conditionalFormatting>
  <conditionalFormatting sqref="B39:F40">
    <cfRule type="expression" dxfId="169" priority="1085" stopIfTrue="1">
      <formula>AND($A39&lt;&gt;"COMPOSICAO",$A39&lt;&gt;"INSUMO",$A39&lt;&gt;"")</formula>
    </cfRule>
    <cfRule type="expression" dxfId="168" priority="1086" stopIfTrue="1">
      <formula>AND(OR($A39="COMPOSICAO",$A39="INSUMO",$A39&lt;&gt;""),$A39&lt;&gt;"")</formula>
    </cfRule>
  </conditionalFormatting>
  <conditionalFormatting sqref="D37:F37 B37">
    <cfRule type="expression" dxfId="167" priority="1083" stopIfTrue="1">
      <formula>AND($A37&lt;&gt;"COMPOSICAO",$A37&lt;&gt;"INSUMO",$A37&lt;&gt;"")</formula>
    </cfRule>
    <cfRule type="expression" dxfId="166" priority="1084" stopIfTrue="1">
      <formula>AND(OR($A37="COMPOSICAO",$A37="INSUMO",$A37&lt;&gt;""),$A37&lt;&gt;"")</formula>
    </cfRule>
  </conditionalFormatting>
  <conditionalFormatting sqref="G36:H36">
    <cfRule type="expression" dxfId="165" priority="1077" stopIfTrue="1">
      <formula>AND($B36&lt;&gt;"COMPOSICAO",$B36&lt;&gt;"INSUMO",$B36&lt;&gt;"")</formula>
    </cfRule>
    <cfRule type="expression" dxfId="164" priority="1078" stopIfTrue="1">
      <formula>AND(OR($B36="COMPOSICAO",$B36="INSUMO",$B36&lt;&gt;""),$B36&lt;&gt;"")</formula>
    </cfRule>
  </conditionalFormatting>
  <conditionalFormatting sqref="B36:D36 F36">
    <cfRule type="expression" dxfId="163" priority="1079" stopIfTrue="1">
      <formula>AND($B36&lt;&gt;"COMPOSICAO",$B36&lt;&gt;"INSUMO",$B36&lt;&gt;"")</formula>
    </cfRule>
    <cfRule type="expression" dxfId="162" priority="1080" stopIfTrue="1">
      <formula>AND(OR($B36="COMPOSICAO",$B36="INSUMO",$B36&lt;&gt;""),$B36&lt;&gt;"")</formula>
    </cfRule>
  </conditionalFormatting>
  <conditionalFormatting sqref="C37:F37">
    <cfRule type="expression" dxfId="161" priority="1081" stopIfTrue="1">
      <formula>AND($A37&lt;&gt;"COMPOSICAO",$A37&lt;&gt;"INSUMO",$A37&lt;&gt;"")</formula>
    </cfRule>
    <cfRule type="expression" dxfId="160" priority="1082" stopIfTrue="1">
      <formula>AND(OR($A37="COMPOSICAO",$A37="INSUMO",$A37&lt;&gt;""),$A37&lt;&gt;"")</formula>
    </cfRule>
  </conditionalFormatting>
  <conditionalFormatting sqref="K36">
    <cfRule type="expression" dxfId="159" priority="1075" stopIfTrue="1">
      <formula>AND($B36&lt;&gt;"COMPOSICAO",$B36&lt;&gt;"INSUMO",$B36&lt;&gt;"")</formula>
    </cfRule>
    <cfRule type="expression" dxfId="158" priority="1076" stopIfTrue="1">
      <formula>AND(OR($B36="COMPOSICAO",$B36="INSUMO",$B36&lt;&gt;""),$B36&lt;&gt;"")</formula>
    </cfRule>
  </conditionalFormatting>
  <conditionalFormatting sqref="I36:J36">
    <cfRule type="expression" dxfId="157" priority="1073" stopIfTrue="1">
      <formula>AND($B36&lt;&gt;"COMPOSICAO",$B36&lt;&gt;"INSUMO",$B36&lt;&gt;"")</formula>
    </cfRule>
    <cfRule type="expression" dxfId="156" priority="1074" stopIfTrue="1">
      <formula>AND(OR($B36="COMPOSICAO",$B36="INSUMO",$B36&lt;&gt;""),$B36&lt;&gt;"")</formula>
    </cfRule>
  </conditionalFormatting>
  <conditionalFormatting sqref="E36">
    <cfRule type="expression" dxfId="155" priority="1071" stopIfTrue="1">
      <formula>AND($B36&lt;&gt;"COMPOSICAO",$B36&lt;&gt;"INSUMO",$B36&lt;&gt;"")</formula>
    </cfRule>
    <cfRule type="expression" dxfId="154" priority="1072" stopIfTrue="1">
      <formula>AND(OR($B36="COMPOSICAO",$B36="INSUMO",$B36&lt;&gt;""),$B36&lt;&gt;"")</formula>
    </cfRule>
  </conditionalFormatting>
  <conditionalFormatting sqref="K91">
    <cfRule type="dataBar" priority="9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{49D2E90E-5F7F-4378-BD53-560480327304}</x14:id>
        </ext>
      </extLst>
    </cfRule>
  </conditionalFormatting>
  <conditionalFormatting sqref="B41">
    <cfRule type="expression" dxfId="153" priority="675" stopIfTrue="1">
      <formula>AND($B41&lt;&gt;"COMPOSICAO",$B41&lt;&gt;"INSUMO",$B41&lt;&gt;"")</formula>
    </cfRule>
    <cfRule type="expression" dxfId="152" priority="676" stopIfTrue="1">
      <formula>AND(OR($B41="COMPOSICAO",$B41="INSUMO",$B41&lt;&gt;""),$B41&lt;&gt;"")</formula>
    </cfRule>
  </conditionalFormatting>
  <conditionalFormatting sqref="J41">
    <cfRule type="expression" dxfId="151" priority="667" stopIfTrue="1">
      <formula>AND($B41&lt;&gt;"COMPOSICAO",$B41&lt;&gt;"INSUMO",$B41&lt;&gt;"")</formula>
    </cfRule>
    <cfRule type="expression" dxfId="150" priority="668" stopIfTrue="1">
      <formula>AND(OR($B41="COMPOSICAO",$B41="INSUMO",$B41&lt;&gt;""),$B41&lt;&gt;"")</formula>
    </cfRule>
  </conditionalFormatting>
  <conditionalFormatting sqref="D41">
    <cfRule type="expression" dxfId="149" priority="673" stopIfTrue="1">
      <formula>AND($B41&lt;&gt;"COMPOSICAO",$B41&lt;&gt;"INSUMO",$B41&lt;&gt;"")</formula>
    </cfRule>
    <cfRule type="expression" dxfId="148" priority="674" stopIfTrue="1">
      <formula>AND(OR($B41="COMPOSICAO",$B41="INSUMO",$B41&lt;&gt;""),$B41&lt;&gt;"")</formula>
    </cfRule>
  </conditionalFormatting>
  <conditionalFormatting sqref="E41:H41">
    <cfRule type="expression" dxfId="147" priority="671" stopIfTrue="1">
      <formula>AND($B41&lt;&gt;"COMPOSICAO",$B41&lt;&gt;"INSUMO",$B41&lt;&gt;"")</formula>
    </cfRule>
    <cfRule type="expression" dxfId="146" priority="672" stopIfTrue="1">
      <formula>AND(OR($B41="COMPOSICAO",$B41="INSUMO",$B41&lt;&gt;""),$B41&lt;&gt;"")</formula>
    </cfRule>
  </conditionalFormatting>
  <conditionalFormatting sqref="I41">
    <cfRule type="expression" dxfId="145" priority="669" stopIfTrue="1">
      <formula>AND($B41&lt;&gt;"COMPOSICAO",$B41&lt;&gt;"INSUMO",$B41&lt;&gt;"")</formula>
    </cfRule>
    <cfRule type="expression" dxfId="144" priority="670" stopIfTrue="1">
      <formula>AND(OR($B41="COMPOSICAO",$B41="INSUMO",$B41&lt;&gt;""),$B41&lt;&gt;"")</formula>
    </cfRule>
  </conditionalFormatting>
  <conditionalFormatting sqref="C41">
    <cfRule type="expression" dxfId="143" priority="661" stopIfTrue="1">
      <formula>AND($B41&lt;&gt;"COMPOSICAO",$B41&lt;&gt;"INSUMO",$B41&lt;&gt;"")</formula>
    </cfRule>
    <cfRule type="expression" dxfId="142" priority="662" stopIfTrue="1">
      <formula>AND(OR($B41="COMPOSICAO",$B41="INSUMO",$B41&lt;&gt;""),$B41&lt;&gt;"")</formula>
    </cfRule>
  </conditionalFormatting>
  <conditionalFormatting sqref="K44">
    <cfRule type="dataBar" priority="6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{179796E7-2082-47FC-8B49-21727F52133E}</x14:id>
        </ext>
      </extLst>
    </cfRule>
  </conditionalFormatting>
  <conditionalFormatting sqref="K41">
    <cfRule type="expression" dxfId="141" priority="663" stopIfTrue="1">
      <formula>AND($B41&lt;&gt;"COMPOSICAO",$B41&lt;&gt;"INSUMO",$B41&lt;&gt;"")</formula>
    </cfRule>
    <cfRule type="expression" dxfId="140" priority="664" stopIfTrue="1">
      <formula>AND(OR($B41="COMPOSICAO",$B41="INSUMO",$B41&lt;&gt;""),$B41&lt;&gt;"")</formula>
    </cfRule>
  </conditionalFormatting>
  <conditionalFormatting sqref="K19:K20">
    <cfRule type="expression" dxfId="139" priority="507" stopIfTrue="1">
      <formula>AND($B19&lt;&gt;"COMPOSICAO",$B19&lt;&gt;"INSUMO",$B19&lt;&gt;"")</formula>
    </cfRule>
    <cfRule type="expression" dxfId="138" priority="508" stopIfTrue="1">
      <formula>AND(OR($B19="COMPOSICAO",$B19="INSUMO",$B19&lt;&gt;""),$B19&lt;&gt;"")</formula>
    </cfRule>
  </conditionalFormatting>
  <conditionalFormatting sqref="H10:J10">
    <cfRule type="expression" dxfId="137" priority="543" stopIfTrue="1">
      <formula>AND($B10&lt;&gt;"COMPOSICAO",$B10&lt;&gt;"INSUMO",$B10&lt;&gt;"")</formula>
    </cfRule>
    <cfRule type="expression" dxfId="136" priority="544" stopIfTrue="1">
      <formula>AND(OR($B10="COMPOSICAO",$B10="INSUMO",$B10&lt;&gt;""),$B10&lt;&gt;"")</formula>
    </cfRule>
  </conditionalFormatting>
  <conditionalFormatting sqref="B10:D10 F10:G10">
    <cfRule type="expression" dxfId="135" priority="541" stopIfTrue="1">
      <formula>AND($B10&lt;&gt;"COMPOSICAO",$B10&lt;&gt;"INSUMO",$B10&lt;&gt;"")</formula>
    </cfRule>
    <cfRule type="expression" dxfId="134" priority="542" stopIfTrue="1">
      <formula>AND(OR($B10="COMPOSICAO",$B10="INSUMO",$B10&lt;&gt;""),$B10&lt;&gt;"")</formula>
    </cfRule>
  </conditionalFormatting>
  <conditionalFormatting sqref="K10">
    <cfRule type="expression" dxfId="133" priority="539" stopIfTrue="1">
      <formula>AND($B10&lt;&gt;"COMPOSICAO",$B10&lt;&gt;"INSUMO",$B10&lt;&gt;"")</formula>
    </cfRule>
    <cfRule type="expression" dxfId="132" priority="540" stopIfTrue="1">
      <formula>AND(OR($B10="COMPOSICAO",$B10="INSUMO",$B10&lt;&gt;""),$B10&lt;&gt;"")</formula>
    </cfRule>
  </conditionalFormatting>
  <conditionalFormatting sqref="E10">
    <cfRule type="expression" dxfId="131" priority="537" stopIfTrue="1">
      <formula>AND($B10&lt;&gt;"COMPOSICAO",$B10&lt;&gt;"INSUMO",$B10&lt;&gt;"")</formula>
    </cfRule>
    <cfRule type="expression" dxfId="130" priority="538" stopIfTrue="1">
      <formula>AND(OR($B10="COMPOSICAO",$B10="INSUMO",$B10&lt;&gt;""),$B10&lt;&gt;"")</formula>
    </cfRule>
  </conditionalFormatting>
  <conditionalFormatting sqref="H14 I16 K15:K16">
    <cfRule type="expression" dxfId="129" priority="535" stopIfTrue="1">
      <formula>AND($B14&lt;&gt;"COMPOSICAO",$B14&lt;&gt;"INSUMO",$B14&lt;&gt;"")</formula>
    </cfRule>
    <cfRule type="expression" dxfId="128" priority="536" stopIfTrue="1">
      <formula>AND(OR($B14="COMPOSICAO",$B14="INSUMO",$B14&lt;&gt;""),$B14&lt;&gt;"")</formula>
    </cfRule>
  </conditionalFormatting>
  <conditionalFormatting sqref="H16">
    <cfRule type="expression" dxfId="127" priority="533" stopIfTrue="1">
      <formula>AND($B16&lt;&gt;"COMPOSICAO",$B16&lt;&gt;"INSUMO",$B16&lt;&gt;"")</formula>
    </cfRule>
    <cfRule type="expression" dxfId="126" priority="534" stopIfTrue="1">
      <formula>AND(OR($B16="COMPOSICAO",$B16="INSUMO",$B16&lt;&gt;""),$B16&lt;&gt;"")</formula>
    </cfRule>
  </conditionalFormatting>
  <conditionalFormatting sqref="I14:J14">
    <cfRule type="expression" dxfId="125" priority="531" stopIfTrue="1">
      <formula>AND($B14&lt;&gt;"COMPOSICAO",$B14&lt;&gt;"INSUMO",$B14&lt;&gt;"")</formula>
    </cfRule>
    <cfRule type="expression" dxfId="124" priority="532" stopIfTrue="1">
      <formula>AND(OR($B14="COMPOSICAO",$B14="INSUMO",$B14&lt;&gt;""),$B14&lt;&gt;"")</formula>
    </cfRule>
  </conditionalFormatting>
  <conditionalFormatting sqref="B14:G14">
    <cfRule type="expression" dxfId="123" priority="529" stopIfTrue="1">
      <formula>AND($B14&lt;&gt;"COMPOSICAO",$B14&lt;&gt;"INSUMO",$B14&lt;&gt;"")</formula>
    </cfRule>
    <cfRule type="expression" dxfId="122" priority="530" stopIfTrue="1">
      <formula>AND(OR($B14="COMPOSICAO",$B14="INSUMO",$B14&lt;&gt;""),$B14&lt;&gt;"")</formula>
    </cfRule>
  </conditionalFormatting>
  <conditionalFormatting sqref="K14">
    <cfRule type="expression" dxfId="121" priority="527" stopIfTrue="1">
      <formula>AND($B14&lt;&gt;"COMPOSICAO",$B14&lt;&gt;"INSUMO",$B14&lt;&gt;"")</formula>
    </cfRule>
    <cfRule type="expression" dxfId="120" priority="528" stopIfTrue="1">
      <formula>AND(OR($B14="COMPOSICAO",$B14="INSUMO",$B14&lt;&gt;""),$B14&lt;&gt;"")</formula>
    </cfRule>
  </conditionalFormatting>
  <conditionalFormatting sqref="H15">
    <cfRule type="expression" dxfId="119" priority="525" stopIfTrue="1">
      <formula>AND($B15&lt;&gt;"COMPOSICAO",$B15&lt;&gt;"INSUMO",$B15&lt;&gt;"")</formula>
    </cfRule>
    <cfRule type="expression" dxfId="118" priority="526" stopIfTrue="1">
      <formula>AND(OR($B15="COMPOSICAO",$B15="INSUMO",$B15&lt;&gt;""),$B15&lt;&gt;"")</formula>
    </cfRule>
  </conditionalFormatting>
  <conditionalFormatting sqref="K18">
    <cfRule type="expression" dxfId="117" priority="505" stopIfTrue="1">
      <formula>AND($B18&lt;&gt;"COMPOSICAO",$B18&lt;&gt;"INSUMO",$B18&lt;&gt;"")</formula>
    </cfRule>
    <cfRule type="expression" dxfId="116" priority="506" stopIfTrue="1">
      <formula>AND(OR($B18="COMPOSICAO",$B18="INSUMO",$B18&lt;&gt;""),$B18&lt;&gt;"")</formula>
    </cfRule>
  </conditionalFormatting>
  <conditionalFormatting sqref="I26:K26">
    <cfRule type="expression" dxfId="115" priority="523" stopIfTrue="1">
      <formula>AND($B26&lt;&gt;"COMPOSICAO",$B26&lt;&gt;"INSUMO",$B26&lt;&gt;"")</formula>
    </cfRule>
    <cfRule type="expression" dxfId="114" priority="524" stopIfTrue="1">
      <formula>AND(OR($B26="COMPOSICAO",$B26="INSUMO",$B26&lt;&gt;""),$B26&lt;&gt;"")</formula>
    </cfRule>
  </conditionalFormatting>
  <conditionalFormatting sqref="H18">
    <cfRule type="expression" dxfId="113" priority="515" stopIfTrue="1">
      <formula>AND($B18&lt;&gt;"COMPOSICAO",$B18&lt;&gt;"INSUMO",$B18&lt;&gt;"")</formula>
    </cfRule>
    <cfRule type="expression" dxfId="112" priority="516" stopIfTrue="1">
      <formula>AND(OR($B18="COMPOSICAO",$B18="INSUMO",$B18&lt;&gt;""),$B18&lt;&gt;"")</formula>
    </cfRule>
  </conditionalFormatting>
  <conditionalFormatting sqref="I18:J18">
    <cfRule type="expression" dxfId="111" priority="513" stopIfTrue="1">
      <formula>AND($B18&lt;&gt;"COMPOSICAO",$B18&lt;&gt;"INSUMO",$B18&lt;&gt;"")</formula>
    </cfRule>
    <cfRule type="expression" dxfId="110" priority="514" stopIfTrue="1">
      <formula>AND(OR($B18="COMPOSICAO",$B18="INSUMO",$B18&lt;&gt;""),$B18&lt;&gt;"")</formula>
    </cfRule>
  </conditionalFormatting>
  <conditionalFormatting sqref="B18:C18">
    <cfRule type="expression" dxfId="109" priority="521" stopIfTrue="1">
      <formula>AND($B18&lt;&gt;"COMPOSICAO",$B18&lt;&gt;"INSUMO",$B18&lt;&gt;"")</formula>
    </cfRule>
    <cfRule type="expression" dxfId="108" priority="522" stopIfTrue="1">
      <formula>AND(OR($B18="COMPOSICAO",$B18="INSUMO",$B18&lt;&gt;""),$B18&lt;&gt;"")</formula>
    </cfRule>
  </conditionalFormatting>
  <conditionalFormatting sqref="D18">
    <cfRule type="expression" dxfId="107" priority="519" stopIfTrue="1">
      <formula>AND($B18&lt;&gt;"COMPOSICAO",$B18&lt;&gt;"INSUMO",$B18&lt;&gt;"")</formula>
    </cfRule>
    <cfRule type="expression" dxfId="106" priority="520" stopIfTrue="1">
      <formula>AND(OR($B18="COMPOSICAO",$B18="INSUMO",$B18&lt;&gt;""),$B18&lt;&gt;"")</formula>
    </cfRule>
  </conditionalFormatting>
  <conditionalFormatting sqref="E18:G18">
    <cfRule type="expression" dxfId="105" priority="517" stopIfTrue="1">
      <formula>AND($B18&lt;&gt;"COMPOSICAO",$B18&lt;&gt;"INSUMO",$B18&lt;&gt;"")</formula>
    </cfRule>
    <cfRule type="expression" dxfId="104" priority="518" stopIfTrue="1">
      <formula>AND(OR($B18="COMPOSICAO",$B18="INSUMO",$B18&lt;&gt;""),$B18&lt;&gt;"")</formula>
    </cfRule>
  </conditionalFormatting>
  <conditionalFormatting sqref="H19">
    <cfRule type="expression" dxfId="103" priority="511" stopIfTrue="1">
      <formula>AND($B19&lt;&gt;"COMPOSICAO",$B19&lt;&gt;"INSUMO",$B19&lt;&gt;"")</formula>
    </cfRule>
    <cfRule type="expression" dxfId="102" priority="512" stopIfTrue="1">
      <formula>AND(OR($B19="COMPOSICAO",$B19="INSUMO",$B19&lt;&gt;""),$B19&lt;&gt;"")</formula>
    </cfRule>
  </conditionalFormatting>
  <conditionalFormatting sqref="I19:I20">
    <cfRule type="expression" dxfId="101" priority="509" stopIfTrue="1">
      <formula>AND($B19&lt;&gt;"COMPOSICAO",$B19&lt;&gt;"INSUMO",$B19&lt;&gt;"")</formula>
    </cfRule>
    <cfRule type="expression" dxfId="100" priority="510" stopIfTrue="1">
      <formula>AND(OR($B19="COMPOSICAO",$B19="INSUMO",$B19&lt;&gt;""),$B19&lt;&gt;"")</formula>
    </cfRule>
  </conditionalFormatting>
  <conditionalFormatting sqref="F79">
    <cfRule type="expression" dxfId="99" priority="503" stopIfTrue="1">
      <formula>AND($A79&lt;&gt;"COMPOSICAO",$A79&lt;&gt;"INSUMO",$A79&lt;&gt;"")</formula>
    </cfRule>
    <cfRule type="expression" dxfId="98" priority="504" stopIfTrue="1">
      <formula>AND(OR($A79="COMPOSICAO",$A79="INSUMO",$A79&lt;&gt;""),$A79&lt;&gt;"")</formula>
    </cfRule>
  </conditionalFormatting>
  <conditionalFormatting sqref="G86">
    <cfRule type="expression" dxfId="97" priority="301" stopIfTrue="1">
      <formula>AND($B86&lt;&gt;"COMPOSICAO",$B86&lt;&gt;"INSUMO",$B86&lt;&gt;"")</formula>
    </cfRule>
    <cfRule type="expression" dxfId="96" priority="302" stopIfTrue="1">
      <formula>AND(OR($B86="COMPOSICAO",$B86="INSUMO",$B86&lt;&gt;""),$B86&lt;&gt;"")</formula>
    </cfRule>
  </conditionalFormatting>
  <conditionalFormatting sqref="I86">
    <cfRule type="expression" dxfId="95" priority="307" stopIfTrue="1">
      <formula>AND($B86&lt;&gt;"COMPOSICAO",$B86&lt;&gt;"INSUMO",$B86&lt;&gt;"")</formula>
    </cfRule>
    <cfRule type="expression" dxfId="94" priority="308" stopIfTrue="1">
      <formula>AND(OR($B86="COMPOSICAO",$B86="INSUMO",$B86&lt;&gt;""),$B86&lt;&gt;"")</formula>
    </cfRule>
  </conditionalFormatting>
  <conditionalFormatting sqref="J86">
    <cfRule type="expression" dxfId="93" priority="305" stopIfTrue="1">
      <formula>AND($B86&lt;&gt;"COMPOSICAO",$B86&lt;&gt;"INSUMO",$B86&lt;&gt;"")</formula>
    </cfRule>
    <cfRule type="expression" dxfId="92" priority="306" stopIfTrue="1">
      <formula>AND(OR($B86="COMPOSICAO",$B86="INSUMO",$B86&lt;&gt;""),$B86&lt;&gt;"")</formula>
    </cfRule>
  </conditionalFormatting>
  <conditionalFormatting sqref="K86">
    <cfRule type="expression" dxfId="91" priority="303" stopIfTrue="1">
      <formula>AND($B86&lt;&gt;"COMPOSICAO",$B86&lt;&gt;"INSUMO",$B86&lt;&gt;"")</formula>
    </cfRule>
    <cfRule type="expression" dxfId="90" priority="304" stopIfTrue="1">
      <formula>AND(OR($B86="COMPOSICAO",$B86="INSUMO",$B86&lt;&gt;""),$B86&lt;&gt;"")</formula>
    </cfRule>
  </conditionalFormatting>
  <conditionalFormatting sqref="B92">
    <cfRule type="expression" dxfId="89" priority="299" stopIfTrue="1">
      <formula>AND($B92&lt;&gt;"COMPOSICAO",$B92&lt;&gt;"INSUMO",$B92&lt;&gt;"")</formula>
    </cfRule>
    <cfRule type="expression" dxfId="88" priority="300" stopIfTrue="1">
      <formula>AND(OR($B92="COMPOSICAO",$B92="INSUMO",$B92&lt;&gt;""),$B92&lt;&gt;"")</formula>
    </cfRule>
  </conditionalFormatting>
  <conditionalFormatting sqref="D92">
    <cfRule type="expression" dxfId="87" priority="297" stopIfTrue="1">
      <formula>AND($B92&lt;&gt;"COMPOSICAO",$B92&lt;&gt;"INSUMO",$B92&lt;&gt;"")</formula>
    </cfRule>
    <cfRule type="expression" dxfId="86" priority="298" stopIfTrue="1">
      <formula>AND(OR($B92="COMPOSICAO",$B92="INSUMO",$B92&lt;&gt;""),$B92&lt;&gt;"")</formula>
    </cfRule>
  </conditionalFormatting>
  <conditionalFormatting sqref="J92">
    <cfRule type="expression" dxfId="85" priority="291" stopIfTrue="1">
      <formula>AND($B92&lt;&gt;"COMPOSICAO",$B92&lt;&gt;"INSUMO",$B92&lt;&gt;"")</formula>
    </cfRule>
    <cfRule type="expression" dxfId="84" priority="292" stopIfTrue="1">
      <formula>AND(OR($B92="COMPOSICAO",$B92="INSUMO",$B92&lt;&gt;""),$B92&lt;&gt;"")</formula>
    </cfRule>
  </conditionalFormatting>
  <conditionalFormatting sqref="E92:H92">
    <cfRule type="expression" dxfId="83" priority="295" stopIfTrue="1">
      <formula>AND($B92&lt;&gt;"COMPOSICAO",$B92&lt;&gt;"INSUMO",$B92&lt;&gt;"")</formula>
    </cfRule>
    <cfRule type="expression" dxfId="82" priority="296" stopIfTrue="1">
      <formula>AND(OR($B92="COMPOSICAO",$B92="INSUMO",$B92&lt;&gt;""),$B92&lt;&gt;"")</formula>
    </cfRule>
  </conditionalFormatting>
  <conditionalFormatting sqref="C92">
    <cfRule type="expression" dxfId="81" priority="289" stopIfTrue="1">
      <formula>AND($B92&lt;&gt;"COMPOSICAO",$B92&lt;&gt;"INSUMO",$B92&lt;&gt;"")</formula>
    </cfRule>
    <cfRule type="expression" dxfId="80" priority="290" stopIfTrue="1">
      <formula>AND(OR($B92="COMPOSICAO",$B92="INSUMO",$B92&lt;&gt;""),$B92&lt;&gt;"")</formula>
    </cfRule>
  </conditionalFormatting>
  <conditionalFormatting sqref="K92">
    <cfRule type="expression" dxfId="79" priority="287" stopIfTrue="1">
      <formula>AND($B92&lt;&gt;"COMPOSICAO",$B92&lt;&gt;"INSUMO",$B92&lt;&gt;"")</formula>
    </cfRule>
    <cfRule type="expression" dxfId="78" priority="288" stopIfTrue="1">
      <formula>AND(OR($B92="COMPOSICAO",$B92="INSUMO",$B92&lt;&gt;""),$B92&lt;&gt;"")</formula>
    </cfRule>
  </conditionalFormatting>
  <conditionalFormatting sqref="I98">
    <cfRule type="expression" dxfId="77" priority="109" stopIfTrue="1">
      <formula>AND($B98&lt;&gt;"COMPOSICAO",$B98&lt;&gt;"INSUMO",$B98&lt;&gt;"")</formula>
    </cfRule>
    <cfRule type="expression" dxfId="76" priority="110" stopIfTrue="1">
      <formula>AND(OR($B98="COMPOSICAO",$B98="INSUMO",$B98&lt;&gt;""),$B98&lt;&gt;"")</formula>
    </cfRule>
  </conditionalFormatting>
  <conditionalFormatting sqref="J98">
    <cfRule type="expression" dxfId="75" priority="107" stopIfTrue="1">
      <formula>AND($B98&lt;&gt;"COMPOSICAO",$B98&lt;&gt;"INSUMO",$B98&lt;&gt;"")</formula>
    </cfRule>
    <cfRule type="expression" dxfId="74" priority="108" stopIfTrue="1">
      <formula>AND(OR($B98="COMPOSICAO",$B98="INSUMO",$B98&lt;&gt;""),$B98&lt;&gt;"")</formula>
    </cfRule>
  </conditionalFormatting>
  <conditionalFormatting sqref="K98">
    <cfRule type="expression" dxfId="73" priority="105" stopIfTrue="1">
      <formula>AND($B98&lt;&gt;"COMPOSICAO",$B98&lt;&gt;"INSUMO",$B98&lt;&gt;"")</formula>
    </cfRule>
    <cfRule type="expression" dxfId="72" priority="106" stopIfTrue="1">
      <formula>AND(OR($B98="COMPOSICAO",$B98="INSUMO",$B98&lt;&gt;""),$B98&lt;&gt;"")</formula>
    </cfRule>
  </conditionalFormatting>
  <conditionalFormatting sqref="B47:G47">
    <cfRule type="expression" dxfId="71" priority="73" stopIfTrue="1">
      <formula>AND($B47&lt;&gt;"COMPOSICAO",$B47&lt;&gt;"INSUMO",$B47&lt;&gt;"")</formula>
    </cfRule>
    <cfRule type="expression" dxfId="70" priority="74" stopIfTrue="1">
      <formula>AND(OR($B47="COMPOSICAO",$B47="INSUMO",$B47&lt;&gt;""),$B47&lt;&gt;"")</formula>
    </cfRule>
  </conditionalFormatting>
  <conditionalFormatting sqref="H47">
    <cfRule type="expression" dxfId="69" priority="71" stopIfTrue="1">
      <formula>AND($B47&lt;&gt;"COMPOSICAO",$B47&lt;&gt;"INSUMO",$B47&lt;&gt;"")</formula>
    </cfRule>
    <cfRule type="expression" dxfId="68" priority="72" stopIfTrue="1">
      <formula>AND(OR($B47="COMPOSICAO",$B47="INSUMO",$B47&lt;&gt;""),$B47&lt;&gt;"")</formula>
    </cfRule>
  </conditionalFormatting>
  <conditionalFormatting sqref="J47">
    <cfRule type="expression" dxfId="67" priority="67" stopIfTrue="1">
      <formula>AND($B47&lt;&gt;"COMPOSICAO",$B47&lt;&gt;"INSUMO",$B47&lt;&gt;"")</formula>
    </cfRule>
    <cfRule type="expression" dxfId="66" priority="68" stopIfTrue="1">
      <formula>AND(OR($B47="COMPOSICAO",$B47="INSUMO",$B47&lt;&gt;""),$B47&lt;&gt;"")</formula>
    </cfRule>
  </conditionalFormatting>
  <conditionalFormatting sqref="K47">
    <cfRule type="expression" dxfId="65" priority="65" stopIfTrue="1">
      <formula>AND($B47&lt;&gt;"COMPOSICAO",$B47&lt;&gt;"INSUMO",$B47&lt;&gt;"")</formula>
    </cfRule>
    <cfRule type="expression" dxfId="64" priority="66" stopIfTrue="1">
      <formula>AND(OR($B47="COMPOSICAO",$B47="INSUMO",$B47&lt;&gt;""),$B47&lt;&gt;"")</formula>
    </cfRule>
  </conditionalFormatting>
  <conditionalFormatting sqref="K45:K46">
    <cfRule type="dataBar" priority="113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{948BEA3F-84C1-4B73-82DE-B888E0126248}</x14:id>
        </ext>
      </extLst>
    </cfRule>
  </conditionalFormatting>
  <conditionalFormatting sqref="B51:F51">
    <cfRule type="expression" dxfId="63" priority="63" stopIfTrue="1">
      <formula>AND($A51&lt;&gt;"COMPOSICAO",$A51&lt;&gt;"INSUMO",$A51&lt;&gt;"")</formula>
    </cfRule>
    <cfRule type="expression" dxfId="62" priority="64" stopIfTrue="1">
      <formula>AND(OR($A51="COMPOSICAO",$A51="INSUMO",$A51&lt;&gt;""),$A51&lt;&gt;"")</formula>
    </cfRule>
  </conditionalFormatting>
  <conditionalFormatting sqref="B57:F57">
    <cfRule type="expression" dxfId="61" priority="61" stopIfTrue="1">
      <formula>AND($A57&lt;&gt;"COMPOSICAO",$A57&lt;&gt;"INSUMO",$A57&lt;&gt;"")</formula>
    </cfRule>
    <cfRule type="expression" dxfId="60" priority="62" stopIfTrue="1">
      <formula>AND(OR($A57="COMPOSICAO",$A57="INSUMO",$A57&lt;&gt;""),$A57&lt;&gt;"")</formula>
    </cfRule>
  </conditionalFormatting>
  <conditionalFormatting sqref="B69:F69">
    <cfRule type="expression" dxfId="59" priority="27" stopIfTrue="1">
      <formula>AND($A69&lt;&gt;"COMPOSICAO",$A69&lt;&gt;"INSUMO",$A69&lt;&gt;"")</formula>
    </cfRule>
    <cfRule type="expression" dxfId="58" priority="28" stopIfTrue="1">
      <formula>AND(OR($A69="COMPOSICAO",$A69="INSUMO",$A69&lt;&gt;""),$A69&lt;&gt;"")</formula>
    </cfRule>
  </conditionalFormatting>
  <conditionalFormatting sqref="K65">
    <cfRule type="expression" dxfId="57" priority="25" stopIfTrue="1">
      <formula>AND($B65&lt;&gt;"COMPOSICAO",$B65&lt;&gt;"INSUMO",$B65&lt;&gt;"")</formula>
    </cfRule>
    <cfRule type="expression" dxfId="56" priority="26" stopIfTrue="1">
      <formula>AND(OR($B65="COMPOSICAO",$B65="INSUMO",$B65&lt;&gt;""),$B65&lt;&gt;"")</formula>
    </cfRule>
  </conditionalFormatting>
  <conditionalFormatting sqref="K52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{7E6DCBBF-BB2A-46E3-9827-64C8D613972D}</x14:id>
        </ext>
      </extLst>
    </cfRule>
  </conditionalFormatting>
  <conditionalFormatting sqref="K58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{1A389C92-53C2-4A35-A7E9-C8489F5809A4}</x14:id>
        </ext>
      </extLst>
    </cfRule>
  </conditionalFormatting>
  <conditionalFormatting sqref="K64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{15A03226-81A3-4050-B41D-FD8B95C1BAFB}</x14:id>
        </ext>
      </extLst>
    </cfRule>
  </conditionalFormatting>
  <conditionalFormatting sqref="K70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{70926A13-3BF3-4D9D-8510-77A27CFF5A19}</x14:id>
        </ext>
      </extLst>
    </cfRule>
  </conditionalFormatting>
  <conditionalFormatting sqref="K76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{11F7313C-E4B2-4FFE-BEE7-B52D185AED71}</x14:id>
        </ext>
      </extLst>
    </cfRule>
  </conditionalFormatting>
  <conditionalFormatting sqref="K85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{0DF3BAE4-94D8-426A-8D70-DCC83E1D36C5}</x14:id>
        </ext>
      </extLst>
    </cfRule>
  </conditionalFormatting>
  <conditionalFormatting sqref="D71:F71">
    <cfRule type="expression" dxfId="55" priority="15" stopIfTrue="1">
      <formula>AND($A71&lt;&gt;"COMPOSICAO",$A71&lt;&gt;"INSUMO",$A71&lt;&gt;"")</formula>
    </cfRule>
    <cfRule type="expression" dxfId="54" priority="16" stopIfTrue="1">
      <formula>AND(OR($A71="COMPOSICAO",$A71="INSUMO",$A71&lt;&gt;""),$A71&lt;&gt;"")</formula>
    </cfRule>
  </conditionalFormatting>
  <conditionalFormatting sqref="K71">
    <cfRule type="expression" dxfId="53" priority="13" stopIfTrue="1">
      <formula>AND($B71&lt;&gt;"COMPOSICAO",$B71&lt;&gt;"INSUMO",$B71&lt;&gt;"")</formula>
    </cfRule>
    <cfRule type="expression" dxfId="52" priority="14" stopIfTrue="1">
      <formula>AND(OR($B71="COMPOSICAO",$B71="INSUMO",$B71&lt;&gt;""),$B71&lt;&gt;"")</formula>
    </cfRule>
  </conditionalFormatting>
  <conditionalFormatting sqref="D77:F77">
    <cfRule type="expression" dxfId="51" priority="11" stopIfTrue="1">
      <formula>AND($A77&lt;&gt;"COMPOSICAO",$A77&lt;&gt;"INSUMO",$A77&lt;&gt;"")</formula>
    </cfRule>
    <cfRule type="expression" dxfId="50" priority="12" stopIfTrue="1">
      <formula>AND(OR($A77="COMPOSICAO",$A77="INSUMO",$A77&lt;&gt;""),$A77&lt;&gt;"")</formula>
    </cfRule>
  </conditionalFormatting>
  <conditionalFormatting sqref="K77">
    <cfRule type="expression" dxfId="49" priority="9" stopIfTrue="1">
      <formula>AND($B77&lt;&gt;"COMPOSICAO",$B77&lt;&gt;"INSUMO",$B77&lt;&gt;"")</formula>
    </cfRule>
    <cfRule type="expression" dxfId="48" priority="10" stopIfTrue="1">
      <formula>AND(OR($B77="COMPOSICAO",$B77="INSUMO",$B77&lt;&gt;""),$B77&lt;&gt;"")</formula>
    </cfRule>
  </conditionalFormatting>
  <conditionalFormatting sqref="D75:F75">
    <cfRule type="expression" dxfId="47" priority="7" stopIfTrue="1">
      <formula>AND($A75&lt;&gt;"COMPOSICAO",$A75&lt;&gt;"INSUMO",$A75&lt;&gt;"")</formula>
    </cfRule>
    <cfRule type="expression" dxfId="46" priority="8" stopIfTrue="1">
      <formula>AND(OR($A75="COMPOSICAO",$A75="INSUMO",$A75&lt;&gt;""),$A75&lt;&gt;"")</formula>
    </cfRule>
  </conditionalFormatting>
  <conditionalFormatting sqref="B75:C75">
    <cfRule type="expression" dxfId="45" priority="5" stopIfTrue="1">
      <formula>AND($A75&lt;&gt;"COMPOSICAO",$A75&lt;&gt;"INSUMO",$A75&lt;&gt;"")</formula>
    </cfRule>
    <cfRule type="expression" dxfId="44" priority="6" stopIfTrue="1">
      <formula>AND(OR($A75="COMPOSICAO",$A75="INSUMO",$A75&lt;&gt;""),$A75&lt;&gt;"")</formula>
    </cfRule>
  </conditionalFormatting>
  <conditionalFormatting sqref="I92">
    <cfRule type="expression" dxfId="43" priority="3" stopIfTrue="1">
      <formula>AND($B92&lt;&gt;"COMPOSICAO",$B92&lt;&gt;"INSUMO",$B92&lt;&gt;"")</formula>
    </cfRule>
    <cfRule type="expression" dxfId="42" priority="4" stopIfTrue="1">
      <formula>AND(OR($B92="COMPOSICAO",$B92="INSUMO",$B92&lt;&gt;""),$B92&lt;&gt;"")</formula>
    </cfRule>
  </conditionalFormatting>
  <conditionalFormatting sqref="I47">
    <cfRule type="expression" dxfId="41" priority="1" stopIfTrue="1">
      <formula>AND($B47&lt;&gt;"COMPOSICAO",$B47&lt;&gt;"INSUMO",$B47&lt;&gt;"")</formula>
    </cfRule>
    <cfRule type="expression" dxfId="40" priority="2" stopIfTrue="1">
      <formula>AND(OR($B47="COMPOSICAO",$B47="INSUMO",$B47&lt;&gt;""),$B47&lt;&gt;"")</formula>
    </cfRule>
  </conditionalFormatting>
  <printOptions horizontalCentered="1" gridLines="1"/>
  <pageMargins left="0.59055118110236227" right="0.59055118110236227" top="0.98425196850393704" bottom="0.78740157480314965" header="0.31496062992125984" footer="0.31496062992125984"/>
  <pageSetup paperSize="9" scale="75" orientation="landscape" r:id="rId1"/>
  <headerFooter>
    <oddFooter>&amp;RPágina &amp;P de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D2E90E-5F7F-4378-BD53-5604803273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K91</xm:sqref>
        </x14:conditionalFormatting>
        <x14:conditionalFormatting xmlns:xm="http://schemas.microsoft.com/office/excel/2006/main">
          <x14:cfRule type="dataBar" id="{179796E7-2082-47FC-8B49-21727F5213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K44</xm:sqref>
        </x14:conditionalFormatting>
        <x14:conditionalFormatting xmlns:xm="http://schemas.microsoft.com/office/excel/2006/main">
          <x14:cfRule type="dataBar" id="{948BEA3F-84C1-4B73-82DE-B888E01262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K45:K46</xm:sqref>
        </x14:conditionalFormatting>
        <x14:conditionalFormatting xmlns:xm="http://schemas.microsoft.com/office/excel/2006/main">
          <x14:cfRule type="dataBar" id="{7E6DCBBF-BB2A-46E3-9827-64C8D61397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K52</xm:sqref>
        </x14:conditionalFormatting>
        <x14:conditionalFormatting xmlns:xm="http://schemas.microsoft.com/office/excel/2006/main">
          <x14:cfRule type="dataBar" id="{1A389C92-53C2-4A35-A7E9-C8489F5809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K58</xm:sqref>
        </x14:conditionalFormatting>
        <x14:conditionalFormatting xmlns:xm="http://schemas.microsoft.com/office/excel/2006/main">
          <x14:cfRule type="dataBar" id="{15A03226-81A3-4050-B41D-FD8B95C1BA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K64</xm:sqref>
        </x14:conditionalFormatting>
        <x14:conditionalFormatting xmlns:xm="http://schemas.microsoft.com/office/excel/2006/main">
          <x14:cfRule type="dataBar" id="{70926A13-3BF3-4D9D-8510-77A27CFF5A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K70</xm:sqref>
        </x14:conditionalFormatting>
        <x14:conditionalFormatting xmlns:xm="http://schemas.microsoft.com/office/excel/2006/main">
          <x14:cfRule type="dataBar" id="{11F7313C-E4B2-4FFE-BEE7-B52D185AED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K76</xm:sqref>
        </x14:conditionalFormatting>
        <x14:conditionalFormatting xmlns:xm="http://schemas.microsoft.com/office/excel/2006/main">
          <x14:cfRule type="dataBar" id="{0DF3BAE4-94D8-426A-8D70-DCC83E1D36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opLeftCell="A31" workbookViewId="0">
      <selection activeCell="C9" sqref="C9"/>
    </sheetView>
  </sheetViews>
  <sheetFormatPr defaultColWidth="11.42578125" defaultRowHeight="12.75"/>
  <cols>
    <col min="1" max="1" width="7.28515625" style="66" customWidth="1"/>
    <col min="2" max="2" width="13.42578125" style="109" customWidth="1"/>
    <col min="3" max="3" width="87" style="66" customWidth="1"/>
    <col min="4" max="4" width="5.42578125" style="109" customWidth="1"/>
    <col min="5" max="5" width="10" style="599" bestFit="1" customWidth="1"/>
    <col min="6" max="6" width="10.85546875" style="600" customWidth="1"/>
    <col min="7" max="7" width="12.28515625" style="600" customWidth="1"/>
    <col min="8" max="8" width="11.5703125" style="600" customWidth="1"/>
    <col min="9" max="9" width="15" style="600" bestFit="1" customWidth="1"/>
    <col min="10" max="10" width="14.85546875" style="66" customWidth="1"/>
    <col min="11" max="11" width="21.42578125" style="66" customWidth="1"/>
    <col min="12" max="12" width="20.140625" style="66" customWidth="1"/>
    <col min="13" max="13" width="19.5703125" style="66" customWidth="1"/>
    <col min="14" max="14" width="11.42578125" style="66"/>
    <col min="15" max="15" width="18.140625" style="66" bestFit="1" customWidth="1"/>
    <col min="16" max="16384" width="11.42578125" style="66"/>
  </cols>
  <sheetData>
    <row r="1" spans="1:18">
      <c r="A1" s="11" t="str">
        <f>[2]COMPOSIÇÃO!A1</f>
        <v>OBRA: IMPLANTAÇÃO DE ILUMINAÇÃO PÚBLICA DO TIPO ORNAMENTAL.</v>
      </c>
      <c r="B1" s="1"/>
      <c r="C1" s="1"/>
      <c r="D1" s="1"/>
      <c r="E1" s="1"/>
      <c r="F1" s="1"/>
      <c r="G1" s="1"/>
      <c r="H1" s="1"/>
      <c r="I1" s="2"/>
    </row>
    <row r="2" spans="1:18">
      <c r="A2" s="11" t="str">
        <f>[2]COMPOSIÇÃO!A2</f>
        <v>LOCAL: AVENIDA SÃO SEBASTIÃO</v>
      </c>
      <c r="B2" s="1"/>
      <c r="C2" s="1"/>
      <c r="D2" s="1"/>
      <c r="E2" s="1"/>
      <c r="F2" s="1"/>
      <c r="G2" s="1"/>
      <c r="H2" s="1"/>
      <c r="I2" s="2"/>
    </row>
    <row r="3" spans="1:18">
      <c r="A3" s="22" t="str">
        <f>[2]COMPOSIÇÃO!A3</f>
        <v>CIDADE : MUNICÍPIO PRIMA VERA DO LESTE - MT</v>
      </c>
      <c r="B3" s="1"/>
      <c r="C3" s="1"/>
      <c r="D3" s="1"/>
      <c r="E3" s="1"/>
      <c r="F3" s="1"/>
      <c r="G3" s="1"/>
      <c r="H3" s="1"/>
      <c r="I3" s="2"/>
    </row>
    <row r="4" spans="1:18">
      <c r="A4" s="369" t="str">
        <f>'COMPOSIÇÃO AV S. SEB'!A4</f>
        <v>BASE: SINAPI 02/2019 - SEM DESONERAÇÃO</v>
      </c>
      <c r="B4" s="67"/>
      <c r="C4" s="67"/>
      <c r="D4" s="67"/>
      <c r="E4" s="68"/>
      <c r="F4" s="681" t="s">
        <v>419</v>
      </c>
      <c r="G4" s="681"/>
      <c r="H4" s="681"/>
      <c r="I4" s="682"/>
    </row>
    <row r="5" spans="1:18" ht="15" customHeight="1">
      <c r="A5" s="683" t="s">
        <v>70</v>
      </c>
      <c r="B5" s="683"/>
      <c r="C5" s="683"/>
      <c r="D5" s="683"/>
      <c r="E5" s="683"/>
      <c r="F5" s="683"/>
      <c r="G5" s="683"/>
      <c r="H5" s="683"/>
      <c r="I5" s="684"/>
    </row>
    <row r="6" spans="1:18">
      <c r="A6" s="685"/>
      <c r="B6" s="655"/>
      <c r="C6" s="655"/>
      <c r="D6" s="655"/>
      <c r="E6" s="656"/>
      <c r="F6" s="652" t="s">
        <v>380</v>
      </c>
      <c r="G6" s="653"/>
      <c r="H6" s="654"/>
      <c r="I6" s="75" t="s">
        <v>67</v>
      </c>
    </row>
    <row r="7" spans="1:18" ht="25.5">
      <c r="A7" s="75" t="s">
        <v>4</v>
      </c>
      <c r="B7" s="76" t="s">
        <v>5</v>
      </c>
      <c r="C7" s="34" t="s">
        <v>41</v>
      </c>
      <c r="D7" s="75" t="s">
        <v>0</v>
      </c>
      <c r="E7" s="547" t="s">
        <v>6</v>
      </c>
      <c r="F7" s="548" t="s">
        <v>27</v>
      </c>
      <c r="G7" s="76" t="s">
        <v>28</v>
      </c>
      <c r="H7" s="76" t="s">
        <v>381</v>
      </c>
      <c r="I7" s="549" t="s">
        <v>382</v>
      </c>
    </row>
    <row r="8" spans="1:18">
      <c r="A8" s="550">
        <v>1</v>
      </c>
      <c r="B8" s="551"/>
      <c r="C8" s="552" t="str">
        <f>VLOOKUP($A8,[2]COMPOSIÇÃO!$A$1:$J$124,4,FALSE)</f>
        <v>SERVIÇOS PRELIMINARES</v>
      </c>
      <c r="D8" s="128"/>
      <c r="E8" s="553"/>
      <c r="F8" s="554"/>
      <c r="G8" s="554"/>
      <c r="H8" s="554"/>
      <c r="I8" s="555"/>
    </row>
    <row r="9" spans="1:18" s="92" customFormat="1">
      <c r="A9" s="556" t="s">
        <v>9</v>
      </c>
      <c r="B9" s="213" t="s">
        <v>68</v>
      </c>
      <c r="C9" s="88" t="str">
        <f>[2]COMPOSIÇÃO!D10</f>
        <v>PLACA DE OBRA EM CHAPA DE ACO GALVANIZADO</v>
      </c>
      <c r="D9" s="86" t="s">
        <v>383</v>
      </c>
      <c r="E9" s="89">
        <v>6</v>
      </c>
      <c r="F9" s="90">
        <f>[2]COMPOSIÇÃO!H10</f>
        <v>425.58</v>
      </c>
      <c r="G9" s="90">
        <f>'COMPOSIÇÃO AV S. SEB'!I10</f>
        <v>53.13</v>
      </c>
      <c r="H9" s="90">
        <f t="shared" ref="H9" si="0">TRUNC((G9+F9),2)</f>
        <v>478.71</v>
      </c>
      <c r="I9" s="557">
        <f t="shared" ref="I9" si="1">TRUNC((G9+F9)*E9,2)</f>
        <v>2872.26</v>
      </c>
    </row>
    <row r="10" spans="1:18">
      <c r="A10" s="558"/>
      <c r="B10" s="93"/>
      <c r="C10" s="94" t="s">
        <v>71</v>
      </c>
      <c r="D10" s="95"/>
      <c r="E10" s="559"/>
      <c r="F10" s="560"/>
      <c r="G10" s="560"/>
      <c r="H10" s="560"/>
      <c r="I10" s="561">
        <f>TRUNC(SUM(I9:I9),2)</f>
        <v>2872.26</v>
      </c>
      <c r="J10" s="98"/>
      <c r="K10" s="99"/>
      <c r="L10" s="100"/>
    </row>
    <row r="11" spans="1:18">
      <c r="A11" s="558"/>
      <c r="B11" s="93"/>
      <c r="C11" s="94"/>
      <c r="D11" s="95"/>
      <c r="E11" s="559"/>
      <c r="F11" s="560"/>
      <c r="G11" s="560"/>
      <c r="H11" s="560"/>
      <c r="I11" s="561"/>
      <c r="J11" s="98"/>
      <c r="K11" s="99"/>
      <c r="L11" s="100"/>
    </row>
    <row r="12" spans="1:18" s="102" customFormat="1">
      <c r="A12" s="550">
        <v>2</v>
      </c>
      <c r="B12" s="562"/>
      <c r="C12" s="552" t="str">
        <f>VLOOKUP($A12,[2]COMPOSIÇÃO!$A$1:$J$124,4,FALSE)</f>
        <v>SERVIÇOS EM TERRA/ESTRUTURAIS</v>
      </c>
      <c r="D12" s="562"/>
      <c r="E12" s="563"/>
      <c r="F12" s="564"/>
      <c r="G12" s="564"/>
      <c r="H12" s="564"/>
      <c r="I12" s="565"/>
      <c r="J12" s="98"/>
      <c r="K12" s="680" t="s">
        <v>384</v>
      </c>
      <c r="L12" s="680"/>
      <c r="M12" s="566" t="s">
        <v>385</v>
      </c>
      <c r="O12" s="680" t="s">
        <v>386</v>
      </c>
      <c r="P12" s="680"/>
      <c r="Q12" s="75" t="s">
        <v>387</v>
      </c>
      <c r="R12" s="566" t="s">
        <v>385</v>
      </c>
    </row>
    <row r="13" spans="1:18" s="102" customFormat="1">
      <c r="A13" s="556" t="s">
        <v>26</v>
      </c>
      <c r="B13" s="213" t="str">
        <f>VLOOKUP($A13,[2]COMPOSIÇÃO!$A$1:$J$124,3,FALSE)</f>
        <v>93358</v>
      </c>
      <c r="C13" s="88" t="str">
        <f>VLOOKUP($A13,[2]COMPOSIÇÃO!$A$1:$J$124,4,FALSE)</f>
        <v>ESCAVAÇÃO MANUAL DE VALA COM PROFUNDIDADE MENOR OU IGUAL A 1,30 M. AF_03/2016</v>
      </c>
      <c r="D13" s="86" t="str">
        <f>VLOOKUP($A13,[2]COMPOSIÇÃO!$A$1:$J$124,5,FALSE)</f>
        <v>M3</v>
      </c>
      <c r="E13" s="89">
        <v>144.93600000000001</v>
      </c>
      <c r="F13" s="90">
        <f>VLOOKUP($A13,[2]COMPOSIÇÃO!$A$1:$J$124,8,FALSE)</f>
        <v>0</v>
      </c>
      <c r="G13" s="90">
        <f>VLOOKUP($A13,[2]COMPOSIÇÃO!$A$1:$J$124,9,FALSE)</f>
        <v>64.989999999999995</v>
      </c>
      <c r="H13" s="90">
        <f t="shared" ref="H13:H22" si="2">TRUNC((G13+F13),2)</f>
        <v>64.989999999999995</v>
      </c>
      <c r="I13" s="557">
        <f t="shared" ref="I13:I22" si="3">TRUNC((G13+F13)*E13,2)</f>
        <v>9419.39</v>
      </c>
      <c r="J13" s="98"/>
      <c r="K13" s="567" t="s">
        <v>388</v>
      </c>
      <c r="L13" s="568">
        <v>0.3</v>
      </c>
      <c r="M13" s="688">
        <f>L13*L14*L15</f>
        <v>139.32</v>
      </c>
      <c r="O13" s="567" t="s">
        <v>388</v>
      </c>
      <c r="P13" s="568">
        <v>0.3</v>
      </c>
      <c r="Q13" s="691">
        <v>52</v>
      </c>
      <c r="R13" s="688">
        <f>(P13*P14*P15)*Q13</f>
        <v>5.6159999999999997</v>
      </c>
    </row>
    <row r="14" spans="1:18" s="102" customFormat="1">
      <c r="A14" s="556" t="s">
        <v>389</v>
      </c>
      <c r="B14" s="213">
        <f>VLOOKUP($A14,[2]COMPOSIÇÃO!$A$1:$J$124,3,FALSE)</f>
        <v>96995</v>
      </c>
      <c r="C14" s="88" t="str">
        <f>VLOOKUP($A14,[2]COMPOSIÇÃO!$A$1:$J$124,4,FALSE)</f>
        <v>REATERRO MANUAL APILOADO COM SOQUETE. AF_10/2017</v>
      </c>
      <c r="D14" s="86" t="str">
        <f>VLOOKUP($A14,[2]COMPOSIÇÃO!$A$1:$J$124,5,FALSE)</f>
        <v>M3</v>
      </c>
      <c r="E14" s="89">
        <v>144.94</v>
      </c>
      <c r="F14" s="90">
        <f>VLOOKUP($A14,[2]COMPOSIÇÃO!$A$1:$J$124,8,FALSE)</f>
        <v>0</v>
      </c>
      <c r="G14" s="90">
        <f>VLOOKUP($A14,[2]COMPOSIÇÃO!$A$1:$J$124,9,FALSE)</f>
        <v>39.409999999999997</v>
      </c>
      <c r="H14" s="90">
        <f t="shared" si="2"/>
        <v>39.409999999999997</v>
      </c>
      <c r="I14" s="557">
        <f t="shared" si="3"/>
        <v>5712.08</v>
      </c>
      <c r="J14" s="98"/>
      <c r="K14" s="569" t="s">
        <v>390</v>
      </c>
      <c r="L14" s="568">
        <v>1548</v>
      </c>
      <c r="M14" s="689"/>
      <c r="O14" s="569" t="s">
        <v>390</v>
      </c>
      <c r="P14" s="568">
        <v>0.3</v>
      </c>
      <c r="Q14" s="692"/>
      <c r="R14" s="689"/>
    </row>
    <row r="15" spans="1:18" s="102" customFormat="1" ht="25.5">
      <c r="A15" s="556" t="s">
        <v>391</v>
      </c>
      <c r="B15" s="213">
        <f>VLOOKUP($A15,[2]COMPOSIÇÃO!$A$1:$J$124,3,FALSE)</f>
        <v>94975</v>
      </c>
      <c r="C15" s="88" t="str">
        <f>VLOOKUP($A15,[2]COMPOSIÇÃO!$A$1:$J$124,4,FALSE)</f>
        <v>CONCRETO FCK = 15MPA, TRAÇO 1:3,4:3,5 (CIMENTO/ AREIA MÉDIA/ BRITA 1) - PREPARO MANUAL. AF_07/2016 (PARA BASES DOS POSTES)</v>
      </c>
      <c r="D15" s="86" t="str">
        <f>VLOOKUP($A15,[2]COMPOSIÇÃO!$A$1:$J$124,5,FALSE)</f>
        <v>M3</v>
      </c>
      <c r="E15" s="89">
        <v>5.6159999999999997</v>
      </c>
      <c r="F15" s="90">
        <f>VLOOKUP($A15,[2]COMPOSIÇÃO!$A$1:$J$124,8,FALSE)</f>
        <v>243.63</v>
      </c>
      <c r="G15" s="90">
        <f>VLOOKUP($A15,[2]COMPOSIÇÃO!$A$1:$J$124,9,FALSE)</f>
        <v>164.62</v>
      </c>
      <c r="H15" s="90">
        <f t="shared" si="2"/>
        <v>408.25</v>
      </c>
      <c r="I15" s="557">
        <f t="shared" si="3"/>
        <v>2292.73</v>
      </c>
      <c r="J15" s="367"/>
      <c r="K15" s="570" t="s">
        <v>392</v>
      </c>
      <c r="L15" s="571">
        <v>0.3</v>
      </c>
      <c r="M15" s="690"/>
      <c r="O15" s="570" t="s">
        <v>392</v>
      </c>
      <c r="P15" s="571">
        <v>1.2</v>
      </c>
      <c r="Q15" s="693"/>
      <c r="R15" s="690"/>
    </row>
    <row r="16" spans="1:18" s="102" customFormat="1">
      <c r="A16" s="556" t="s">
        <v>393</v>
      </c>
      <c r="B16" s="213" t="str">
        <f>VLOOKUP($A16,[2]COMPOSIÇÃO!$A$1:$J$124,3,FALSE)</f>
        <v xml:space="preserve">74157/004 </v>
      </c>
      <c r="C16" s="88" t="str">
        <f>VLOOKUP($A16,[2]COMPOSIÇÃO!$A$1:$J$124,4,FALSE)</f>
        <v>LANCAMENTO/APLICACAO MANUAL DE CONCRETO EM FUNDACOES</v>
      </c>
      <c r="D16" s="86" t="str">
        <f>VLOOKUP($A16,[2]COMPOSIÇÃO!$A$1:$J$124,5,FALSE)</f>
        <v>M³</v>
      </c>
      <c r="E16" s="89">
        <v>5.6159999999999997</v>
      </c>
      <c r="F16" s="90">
        <f>VLOOKUP($A16,[2]COMPOSIÇÃO!$A$1:$J$124,8,FALSE)</f>
        <v>0.36</v>
      </c>
      <c r="G16" s="90">
        <f>VLOOKUP($A16,[2]COMPOSIÇÃO!$A$1:$J$124,9,FALSE)</f>
        <v>107.47</v>
      </c>
      <c r="H16" s="90">
        <f t="shared" si="2"/>
        <v>107.83</v>
      </c>
      <c r="I16" s="557">
        <f t="shared" si="3"/>
        <v>605.57000000000005</v>
      </c>
      <c r="J16" s="98"/>
    </row>
    <row r="17" spans="1:13" s="102" customFormat="1" ht="25.5">
      <c r="A17" s="556" t="s">
        <v>394</v>
      </c>
      <c r="B17" s="213" t="str">
        <f>VLOOKUP($A17,[2]COMPOSIÇÃO!$A$1:$J$124,3,FALSE)</f>
        <v>COMPOSIÇÃO 02</v>
      </c>
      <c r="C17" s="88" t="str">
        <f>VLOOKUP($A17,[2]COMPOSIÇÃO!$A$1:$J$124,4,FALSE)</f>
        <v>ELETRODUTO PVC FLEXÍVEL CORRUGADO, DN 25 MM (1"), PARA CIRCUITOS TERMINAIS, INSTALADO EM SOLO - FORNECIMENTO E INSTALAÇÃO.</v>
      </c>
      <c r="D17" s="86" t="str">
        <f>VLOOKUP($A17,[2]COMPOSIÇÃO!$A$1:$J$124,5,FALSE)</f>
        <v>M</v>
      </c>
      <c r="E17" s="89">
        <v>100</v>
      </c>
      <c r="F17" s="90">
        <f>VLOOKUP($A17,[2]COMPOSIÇÃO!$A$1:$J$124,8,FALSE)</f>
        <v>1.1599999999999999</v>
      </c>
      <c r="G17" s="90">
        <f>VLOOKUP($A17,[2]COMPOSIÇÃO!$A$1:$J$124,9,FALSE)</f>
        <v>3.73</v>
      </c>
      <c r="H17" s="90">
        <f t="shared" si="2"/>
        <v>4.8899999999999997</v>
      </c>
      <c r="I17" s="557">
        <f t="shared" si="3"/>
        <v>489</v>
      </c>
      <c r="J17" s="98"/>
      <c r="K17" s="572" t="s">
        <v>395</v>
      </c>
      <c r="L17" s="572">
        <f>M13+R13</f>
        <v>144.93599999999998</v>
      </c>
    </row>
    <row r="18" spans="1:13" s="102" customFormat="1" ht="25.5">
      <c r="A18" s="556" t="s">
        <v>396</v>
      </c>
      <c r="B18" s="213" t="str">
        <f>VLOOKUP($A18,[2]COMPOSIÇÃO!$A$1:$J$124,3,FALSE)</f>
        <v>COMPOSIÇÃO 03</v>
      </c>
      <c r="C18" s="88" t="str">
        <f>VLOOKUP($A18,[2]COMPOSIÇÃO!$A$1:$J$124,4,FALSE)</f>
        <v>ELETRODUTODUTO PEAD FLEXIVEL PAREDE SIMPLES, CORRUGACAO HELICOIDAL, CORPRETA, SEM ROSCA, DE 1 1/4", PARA CABEAMENTO SUBTERRANEO (NBR 15715)</v>
      </c>
      <c r="D18" s="86" t="str">
        <f>VLOOKUP($A18,[2]COMPOSIÇÃO!$A$1:$J$124,5,FALSE)</f>
        <v>M</v>
      </c>
      <c r="E18" s="89">
        <v>1484</v>
      </c>
      <c r="F18" s="90">
        <f>VLOOKUP($A18,[2]COMPOSIÇÃO!$A$1:$J$124,8,FALSE)</f>
        <v>2.12</v>
      </c>
      <c r="G18" s="90">
        <f>VLOOKUP($A18,[2]COMPOSIÇÃO!$A$1:$J$124,9,FALSE)</f>
        <v>18.670000000000002</v>
      </c>
      <c r="H18" s="90">
        <f t="shared" si="2"/>
        <v>20.79</v>
      </c>
      <c r="I18" s="557">
        <f t="shared" si="3"/>
        <v>30852.36</v>
      </c>
      <c r="J18" s="98"/>
    </row>
    <row r="19" spans="1:13" s="102" customFormat="1">
      <c r="A19" s="556" t="s">
        <v>397</v>
      </c>
      <c r="B19" s="213" t="str">
        <f>VLOOKUP($A19,[2]COMPOSIÇÃO!$A$1:$J$124,3,FALSE)</f>
        <v>83446</v>
      </c>
      <c r="C19" s="88" t="str">
        <f>VLOOKUP($A19,[2]COMPOSIÇÃO!$A$1:$J$124,4,FALSE)</f>
        <v>CAIXA DE PASSAGEM 30X30X40 COM TAMPA E DRENO BRITA</v>
      </c>
      <c r="D19" s="86" t="str">
        <f>VLOOKUP($A19,[2]COMPOSIÇÃO!$A$1:$J$124,5,FALSE)</f>
        <v>UN</v>
      </c>
      <c r="E19" s="89">
        <v>58</v>
      </c>
      <c r="F19" s="90">
        <f>VLOOKUP($A19,[2]COMPOSIÇÃO!$A$1:$J$124,8,FALSE)</f>
        <v>52.49</v>
      </c>
      <c r="G19" s="90">
        <f>VLOOKUP($A19,[2]COMPOSIÇÃO!$A$1:$J$124,9,FALSE)</f>
        <v>107.8</v>
      </c>
      <c r="H19" s="90">
        <f t="shared" si="2"/>
        <v>160.29</v>
      </c>
      <c r="I19" s="557">
        <f t="shared" si="3"/>
        <v>9296.82</v>
      </c>
      <c r="J19" s="98"/>
    </row>
    <row r="20" spans="1:13" s="102" customFormat="1" ht="38.25">
      <c r="A20" s="556" t="s">
        <v>398</v>
      </c>
      <c r="B20" s="213">
        <f>VLOOKUP($A20,[2]COMPOSIÇÃO!$A$1:$J$124,3,FALSE)</f>
        <v>92364</v>
      </c>
      <c r="C20" s="88" t="str">
        <f>VLOOKUP($A20,[2]COMPOSIÇÃO!$A$1:$J$124,4,FALSE)</f>
        <v>TUBO DE AÇO GALVANIZADO COM COSTURA, CLASSE MÉDIA, DN 32 (1 1/4"), CONEXÃO ROSQUEADA, INSTALADO EM REDE DE ALIMENTAÇÃO PARA HIDRANTE - FORNECIMENTO E INSTALAÇÃO. AF_12/2015</v>
      </c>
      <c r="D20" s="86" t="str">
        <f>VLOOKUP($A20,[2]COMPOSIÇÃO!$A$1:$J$124,5,FALSE)</f>
        <v>M</v>
      </c>
      <c r="E20" s="89">
        <v>72</v>
      </c>
      <c r="F20" s="90">
        <f>VLOOKUP($A20,[2]COMPOSIÇÃO!$A$1:$J$124,8,FALSE)</f>
        <v>29.2</v>
      </c>
      <c r="G20" s="90">
        <f>VLOOKUP($A20,[2]COMPOSIÇÃO!$A$1:$J$124,9,FALSE)</f>
        <v>6.76</v>
      </c>
      <c r="H20" s="90">
        <f t="shared" si="2"/>
        <v>35.96</v>
      </c>
      <c r="I20" s="557">
        <f t="shared" si="3"/>
        <v>2589.12</v>
      </c>
      <c r="J20" s="98"/>
      <c r="K20" s="694" t="s">
        <v>399</v>
      </c>
      <c r="L20" s="76" t="s">
        <v>400</v>
      </c>
      <c r="M20" s="573" t="s">
        <v>401</v>
      </c>
    </row>
    <row r="21" spans="1:13" s="102" customFormat="1" ht="25.5">
      <c r="A21" s="556" t="s">
        <v>402</v>
      </c>
      <c r="B21" s="213">
        <f>VLOOKUP($A21,[2]COMPOSIÇÃO!$A$1:$J$124,3,FALSE)</f>
        <v>91896</v>
      </c>
      <c r="C21" s="88" t="str">
        <f>VLOOKUP($A21,[2]COMPOSIÇÃO!$A$1:$J$124,4,FALSE)</f>
        <v>CURVA 90 GRAUS PARA ELETRODUTO, PVC, ROSCÁVEL, DN 40 MM (1 1/4"), PARA CIRCUITOS TERMINAIS, INSTALADA EM FORRO - FORNECIMENTO E INSTALAÇÃO.</v>
      </c>
      <c r="D21" s="86" t="str">
        <f>VLOOKUP($A21,[2]COMPOSIÇÃO!$A$1:$J$124,5,FALSE)</f>
        <v>UN</v>
      </c>
      <c r="E21" s="89">
        <v>4</v>
      </c>
      <c r="F21" s="90">
        <f>VLOOKUP($A21,[2]COMPOSIÇÃO!$A$1:$J$124,8,FALSE)</f>
        <v>3.03</v>
      </c>
      <c r="G21" s="90">
        <f>VLOOKUP($A21,[2]COMPOSIÇÃO!$A$1:$J$124,9,FALSE)</f>
        <v>10.02</v>
      </c>
      <c r="H21" s="90">
        <f t="shared" si="2"/>
        <v>13.05</v>
      </c>
      <c r="I21" s="557">
        <f t="shared" si="3"/>
        <v>52.2</v>
      </c>
      <c r="J21" s="98"/>
      <c r="K21" s="694"/>
      <c r="L21" s="574" t="s">
        <v>403</v>
      </c>
      <c r="M21" s="574" t="s">
        <v>404</v>
      </c>
    </row>
    <row r="22" spans="1:13" s="102" customFormat="1" ht="25.5">
      <c r="A22" s="556" t="s">
        <v>405</v>
      </c>
      <c r="B22" s="213">
        <f>VLOOKUP($A22,[2]COMPOSIÇÃO!$A$1:$J$124,3,FALSE)</f>
        <v>91877</v>
      </c>
      <c r="C22" s="88" t="str">
        <f>VLOOKUP($A22,[2]COMPOSIÇÃO!$A$1:$J$124,4,FALSE)</f>
        <v>LUVA PARA ELETRODUTO, PVC, ROSCÁVEL, DN 40 MM (1 1/4"), PARA CIRCUITOS TERMINAIS, INSTALADA EM FORRO - FORNECIMENTO E INSTALAÇÃO. AF_12/2015</v>
      </c>
      <c r="D22" s="86" t="str">
        <f>VLOOKUP($A22,[2]COMPOSIÇÃO!$A$1:$J$124,5,FALSE)</f>
        <v>UN</v>
      </c>
      <c r="E22" s="89">
        <v>16</v>
      </c>
      <c r="F22" s="90">
        <f>VLOOKUP($A22,[2]COMPOSIÇÃO!$A$1:$J$124,8,FALSE)</f>
        <v>1.66</v>
      </c>
      <c r="G22" s="90">
        <f>VLOOKUP($A22,[2]COMPOSIÇÃO!$A$1:$J$124,9,FALSE)</f>
        <v>6.56</v>
      </c>
      <c r="H22" s="90">
        <f t="shared" si="2"/>
        <v>8.2200000000000006</v>
      </c>
      <c r="I22" s="557">
        <f t="shared" si="3"/>
        <v>131.52000000000001</v>
      </c>
      <c r="J22" s="98"/>
    </row>
    <row r="23" spans="1:13" s="102" customFormat="1">
      <c r="A23" s="558"/>
      <c r="B23" s="93"/>
      <c r="C23" s="94" t="s">
        <v>406</v>
      </c>
      <c r="D23" s="95"/>
      <c r="E23" s="559"/>
      <c r="F23" s="560"/>
      <c r="G23" s="560"/>
      <c r="H23" s="560"/>
      <c r="I23" s="561">
        <f>SUM(I13:I22)</f>
        <v>61440.79</v>
      </c>
      <c r="J23" s="98"/>
    </row>
    <row r="24" spans="1:13" s="102" customFormat="1">
      <c r="A24" s="575"/>
      <c r="B24" s="575"/>
      <c r="C24" s="576"/>
      <c r="D24" s="577"/>
      <c r="E24" s="578"/>
      <c r="F24" s="579"/>
      <c r="G24" s="580"/>
      <c r="H24" s="580"/>
      <c r="I24" s="579"/>
      <c r="J24" s="98"/>
    </row>
    <row r="25" spans="1:13" s="102" customFormat="1">
      <c r="A25" s="550">
        <v>3</v>
      </c>
      <c r="B25" s="562"/>
      <c r="C25" s="552" t="str">
        <f>VLOOKUP($A25,[2]COMPOSIÇÃO!$A$1:$J$124,4,FALSE)</f>
        <v>ILUMINAÇÃO PÚBLICA ORNAMENTAL</v>
      </c>
      <c r="D25" s="562"/>
      <c r="E25" s="563"/>
      <c r="F25" s="564"/>
      <c r="G25" s="564"/>
      <c r="H25" s="564"/>
      <c r="I25" s="565"/>
      <c r="J25" s="98"/>
    </row>
    <row r="26" spans="1:13" s="102" customFormat="1" ht="28.5" customHeight="1">
      <c r="A26" s="556" t="s">
        <v>181</v>
      </c>
      <c r="B26" s="213" t="str">
        <f>VLOOKUP($A26,[2]COMPOSIÇÃO!$A$1:$J$124,3,FALSE)</f>
        <v>COMPOSIÇAO 04</v>
      </c>
      <c r="C26" s="88" t="str">
        <f>'COMPOSIÇÃO AV S. SEB'!D78</f>
        <v>POSTE TELECÔNICO CONTINUO EM ACO GALVANIZADO, RETO, ENGASTADO, H = 9 M, DIAMETRO INFERIOR = *145* MM</v>
      </c>
      <c r="D26" s="86" t="str">
        <f>VLOOKUP($A26,[2]COMPOSIÇÃO!$A$1:$J$124,5,FALSE)</f>
        <v>UN</v>
      </c>
      <c r="E26" s="89">
        <v>52</v>
      </c>
      <c r="F26" s="90">
        <f>VLOOKUP($A26,[2]COMPOSIÇÃO!$A$1:$J$124,8,FALSE)</f>
        <v>1575.1306999999997</v>
      </c>
      <c r="G26" s="90">
        <f>VLOOKUP($A26,[2]COMPOSIÇÃO!$A$1:$J$124,9,FALSE)</f>
        <v>339.09050000000002</v>
      </c>
      <c r="H26" s="90">
        <f t="shared" ref="H26:H34" si="4">TRUNC((G26+F26),2)</f>
        <v>1914.22</v>
      </c>
      <c r="I26" s="557">
        <f t="shared" ref="I26:I34" si="5">TRUNC((G26+F26)*E26,2)</f>
        <v>99539.5</v>
      </c>
      <c r="J26" s="98"/>
    </row>
    <row r="27" spans="1:13" s="102" customFormat="1" ht="51">
      <c r="A27" s="556" t="s">
        <v>407</v>
      </c>
      <c r="B27" s="213" t="str">
        <f>VLOOKUP($A27,[2]COMPOSIÇÃO!$A$1:$J$124,3,FALSE)</f>
        <v>COMPOSIÇAO 05</v>
      </c>
      <c r="C27" s="88" t="str">
        <f>VLOOKUP($A27,[2]COMPOSIÇÃO!$A$1:$J$124,4,FALSE)</f>
        <v>LUMINÁRIA EM LED PARA ILUMINAÇÃO PÚBLICA, 100W, LED AC, LENTES DE MATERIAL PMMA, CORPO EM ALUMÍNIO INJ, 220V +/-10%, FP0,95, IP66, IK08, TEMP. COR 5000K, IRC &gt; 70%, V. ÚTIL 70.000H, FLUXO LUMINOSO 11.407,4 LM, TOMADA PARA RELÉ FOTOELÉTRICO,  MODELO LPL ARES VI MIDI (ILUMATIC) OU SIMILAR - FORNECIMENTO E INSTALAÇÃO.</v>
      </c>
      <c r="D27" s="86" t="str">
        <f>VLOOKUP($A27,[2]COMPOSIÇÃO!$A$1:$J$124,5,FALSE)</f>
        <v>UN</v>
      </c>
      <c r="E27" s="89">
        <v>104</v>
      </c>
      <c r="F27" s="90">
        <f>VLOOKUP($A27,[2]COMPOSIÇÃO!$A$1:$J$124,8,FALSE)</f>
        <v>1069.57</v>
      </c>
      <c r="G27" s="90">
        <f>VLOOKUP($A27,[2]COMPOSIÇÃO!$A$1:$J$124,9,FALSE)</f>
        <v>37.35</v>
      </c>
      <c r="H27" s="90">
        <f t="shared" si="4"/>
        <v>1106.92</v>
      </c>
      <c r="I27" s="557">
        <f t="shared" si="5"/>
        <v>115119.67999999999</v>
      </c>
      <c r="J27" s="98"/>
    </row>
    <row r="28" spans="1:13" s="102" customFormat="1" ht="25.5">
      <c r="A28" s="556" t="s">
        <v>408</v>
      </c>
      <c r="B28" s="213" t="str">
        <f>VLOOKUP($A28,[2]COMPOSIÇÃO!$A$1:$J$124,3,FALSE)</f>
        <v>91926</v>
      </c>
      <c r="C28" s="88" t="str">
        <f>VLOOKUP($A28,[2]COMPOSIÇÃO!$A$1:$J$124,4,FALSE)</f>
        <v>CABO DE COBRE FLEXÍVEL ISOLADO, 2,5 MM², ANTI-CHAMA 450/750 V, PARA CIRCUITOS TERMINAIS - FORNECIMENTO E INSTALAÇÃO. AF_12/2015</v>
      </c>
      <c r="D28" s="86" t="str">
        <f>VLOOKUP($A28,[2]COMPOSIÇÃO!$A$1:$J$124,5,FALSE)</f>
        <v>M</v>
      </c>
      <c r="E28" s="89">
        <v>9360</v>
      </c>
      <c r="F28" s="90">
        <f>'COMPOSIÇÃO AV S. SEB'!H92</f>
        <v>1.57</v>
      </c>
      <c r="G28" s="90">
        <f>VLOOKUP($A28,[2]COMPOSIÇÃO!$A$1:$J$124,9,FALSE)</f>
        <v>1.1100000000000001</v>
      </c>
      <c r="H28" s="90">
        <f t="shared" si="4"/>
        <v>2.68</v>
      </c>
      <c r="I28" s="557">
        <f t="shared" si="5"/>
        <v>25084.799999999999</v>
      </c>
      <c r="J28" s="98"/>
    </row>
    <row r="29" spans="1:13" s="102" customFormat="1" ht="25.5">
      <c r="A29" s="556" t="s">
        <v>409</v>
      </c>
      <c r="B29" s="213" t="str">
        <f>VLOOKUP($A29,[2]COMPOSIÇÃO!$A$1:$J$124,3,FALSE)</f>
        <v>91929</v>
      </c>
      <c r="C29" s="88" t="str">
        <f>VLOOKUP($A29,[2]COMPOSIÇÃO!$A$1:$J$124,4,FALSE)</f>
        <v>CABO DE COBRE FLEXÍVEL ISOLADO, 4 MM², ANTI-CHAMA 0,6/1,0 KV, PARA CIRCUITOS TERMINAIS - FORNECIMENTO E INSTALAÇÃO. AF_12/2015</v>
      </c>
      <c r="D29" s="86" t="str">
        <f>VLOOKUP($A29,[2]COMPOSIÇÃO!$A$1:$J$124,5,FALSE)</f>
        <v>M</v>
      </c>
      <c r="E29" s="89">
        <v>6320</v>
      </c>
      <c r="F29" s="90">
        <f>VLOOKUP($A29,[2]COMPOSIÇÃO!$A$1:$J$124,8,FALSE)</f>
        <v>2.9</v>
      </c>
      <c r="G29" s="90">
        <f>VLOOKUP($A29,[2]COMPOSIÇÃO!$A$1:$J$124,9,FALSE)</f>
        <v>1.49</v>
      </c>
      <c r="H29" s="90">
        <f t="shared" si="4"/>
        <v>4.3899999999999997</v>
      </c>
      <c r="I29" s="557">
        <f t="shared" si="5"/>
        <v>27744.799999999999</v>
      </c>
      <c r="J29" s="98"/>
    </row>
    <row r="30" spans="1:13" s="102" customFormat="1" ht="25.5">
      <c r="A30" s="556" t="s">
        <v>410</v>
      </c>
      <c r="B30" s="213" t="str">
        <f>VLOOKUP($A30,[2]COMPOSIÇÃO!$A$1:$J$124,3,FALSE)</f>
        <v>91931</v>
      </c>
      <c r="C30" s="88" t="str">
        <f>VLOOKUP($A30,[2]COMPOSIÇÃO!$A$1:$J$124,4,FALSE)</f>
        <v>CABO DE COBRE FLEXÍVEL ISOLADO, 6 MM², ANTI-CHAMA 0,6/1,0 KV, PARA CIRCUITOS TERMINAIS - FORNECIMENTO E INSTALAÇÃO. AF_12/2015</v>
      </c>
      <c r="D30" s="86" t="str">
        <f>VLOOKUP($A30,[2]COMPOSIÇÃO!$A$1:$J$124,5,FALSE)</f>
        <v>M</v>
      </c>
      <c r="E30" s="89">
        <v>252</v>
      </c>
      <c r="F30" s="90">
        <f>VLOOKUP($A30,[2]COMPOSIÇÃO!$A$1:$J$124,8,FALSE)</f>
        <v>4.66</v>
      </c>
      <c r="G30" s="90">
        <f>VLOOKUP($A30,[2]COMPOSIÇÃO!$A$1:$J$124,9,FALSE)</f>
        <v>1.93</v>
      </c>
      <c r="H30" s="90">
        <f t="shared" si="4"/>
        <v>6.59</v>
      </c>
      <c r="I30" s="557">
        <f t="shared" si="5"/>
        <v>1660.68</v>
      </c>
      <c r="J30" s="98"/>
    </row>
    <row r="31" spans="1:13" s="102" customFormat="1" ht="25.5">
      <c r="A31" s="556" t="s">
        <v>411</v>
      </c>
      <c r="B31" s="213" t="str">
        <f>VLOOKUP($A31,[2]COMPOSIÇÃO!$A$1:$J$124,3,FALSE)</f>
        <v>COMPOSIÇAO 06</v>
      </c>
      <c r="C31" s="581" t="str">
        <f>VLOOKUP($A31,[2]COMPOSIÇÃO!$A$1:$J$124,4,FALSE)</f>
        <v>QUADRO DE COMANDO EM GRUPO DE ILUMINAÇÃO PÚBLICA - FORNECIMENTO E MONTAGEM</v>
      </c>
      <c r="D31" s="86" t="str">
        <f>VLOOKUP($A31,[2]COMPOSIÇÃO!$A$1:$J$124,5,FALSE)</f>
        <v>UN</v>
      </c>
      <c r="E31" s="89">
        <v>4</v>
      </c>
      <c r="F31" s="90">
        <f>VLOOKUP($A31,[2]COMPOSIÇÃO!$A$1:$J$124,8,FALSE)</f>
        <v>774.63000000000011</v>
      </c>
      <c r="G31" s="90">
        <f>VLOOKUP($A31,[2]COMPOSIÇÃO!$A$1:$J$124,9,FALSE)</f>
        <v>1.94428</v>
      </c>
      <c r="H31" s="90">
        <f t="shared" si="4"/>
        <v>776.57</v>
      </c>
      <c r="I31" s="557">
        <f t="shared" si="5"/>
        <v>3106.29</v>
      </c>
      <c r="J31" s="98"/>
    </row>
    <row r="32" spans="1:13" s="102" customFormat="1">
      <c r="A32" s="556" t="s">
        <v>412</v>
      </c>
      <c r="B32" s="213" t="str">
        <f>VLOOKUP($A32,[2]COMPOSIÇÃO!$A$1:$J$224,3,FALSE)</f>
        <v>96985</v>
      </c>
      <c r="C32" s="88" t="str">
        <f>VLOOKUP($A32,[2]COMPOSIÇÃO!$A$1:$J$224,4,FALSE)</f>
        <v>HASTE DE ATERRAMENTO 5/8  PARA SPDA - FORNECIMENTO E INSTALAÇÃO. AF_12/2017</v>
      </c>
      <c r="D32" s="86" t="str">
        <f>VLOOKUP($A32,[2]COMPOSIÇÃO!$A$1:$J$224,5,FALSE)</f>
        <v>UN</v>
      </c>
      <c r="E32" s="89">
        <v>25</v>
      </c>
      <c r="F32" s="90">
        <f>VLOOKUP($A32,[2]COMPOSIÇÃO!$A$1:$J$224,8,FALSE)</f>
        <v>5.32</v>
      </c>
      <c r="G32" s="90">
        <f>VLOOKUP($A32,[2]COMPOSIÇÃO!$A$1:$J$224,9,FALSE)</f>
        <v>36.200000000000003</v>
      </c>
      <c r="H32" s="90">
        <f t="shared" si="4"/>
        <v>41.52</v>
      </c>
      <c r="I32" s="557">
        <f t="shared" si="5"/>
        <v>1038</v>
      </c>
      <c r="J32" s="98"/>
    </row>
    <row r="33" spans="1:10" s="102" customFormat="1" ht="25.5">
      <c r="A33" s="556" t="s">
        <v>413</v>
      </c>
      <c r="B33" s="213" t="str">
        <f>VLOOKUP($A33,[2]COMPOSIÇÃO!$A$1:$J$224,3,FALSE)</f>
        <v>COMPOSIÇAO 07</v>
      </c>
      <c r="C33" s="581" t="str">
        <f>VLOOKUP($A33,[2]COMPOSIÇÃO!$A$1:$J$224,4,FALSE)</f>
        <v>CONECTOR PARAFUSO FENDIDO SPLIT-BOLT - PARA CABO DE 16MM2 - FORNECIMENTO E INSTALAÇÃO</v>
      </c>
      <c r="D33" s="86" t="str">
        <f>VLOOKUP($A33,[2]COMPOSIÇÃO!$A$1:$J$224,5,FALSE)</f>
        <v xml:space="preserve">UN </v>
      </c>
      <c r="E33" s="89">
        <v>156</v>
      </c>
      <c r="F33" s="90">
        <f>VLOOKUP($A33,[2]COMPOSIÇÃO!$A$1:$J$224,8,FALSE)</f>
        <v>3.41</v>
      </c>
      <c r="G33" s="90">
        <f>VLOOKUP($A33,[2]COMPOSIÇÃO!$A$1:$J$224,9,FALSE)</f>
        <v>7.47</v>
      </c>
      <c r="H33" s="90">
        <f t="shared" si="4"/>
        <v>10.88</v>
      </c>
      <c r="I33" s="557">
        <f t="shared" si="5"/>
        <v>1697.28</v>
      </c>
      <c r="J33" s="98"/>
    </row>
    <row r="34" spans="1:10" s="102" customFormat="1" ht="25.5">
      <c r="A34" s="556" t="s">
        <v>414</v>
      </c>
      <c r="B34" s="213" t="str">
        <f>VLOOKUP($A34,[2]COMPOSIÇÃO!$A$1:$J$224,3,FALSE)</f>
        <v>COMPOSIÇAO 08</v>
      </c>
      <c r="C34" s="88" t="str">
        <f>VLOOKUP($A34,[2]COMPOSIÇÃO!$A$1:$J$224,4,FALSE)</f>
        <v>GRAMPO METALICO TIPO OLHAL PARA HASTE DE ATERRAMENTO DE 5/8'', CONDUTOR DE *10* A 50 MM2.</v>
      </c>
      <c r="D34" s="86" t="str">
        <f>VLOOKUP($A34,[2]COMPOSIÇÃO!$A$1:$J$224,5,FALSE)</f>
        <v xml:space="preserve">UN </v>
      </c>
      <c r="E34" s="89">
        <v>25</v>
      </c>
      <c r="F34" s="90">
        <f>VLOOKUP($A34,[2]COMPOSIÇÃO!$A$1:$J$224,8,FALSE)</f>
        <v>3.04</v>
      </c>
      <c r="G34" s="90">
        <f>VLOOKUP($A34,[2]COMPOSIÇÃO!$A$1:$J$224,9,FALSE)</f>
        <v>7.47</v>
      </c>
      <c r="H34" s="90">
        <f t="shared" si="4"/>
        <v>10.51</v>
      </c>
      <c r="I34" s="557">
        <f t="shared" si="5"/>
        <v>262.75</v>
      </c>
      <c r="J34" s="98"/>
    </row>
    <row r="35" spans="1:10" s="102" customFormat="1">
      <c r="A35" s="558"/>
      <c r="B35" s="93"/>
      <c r="C35" s="94" t="s">
        <v>415</v>
      </c>
      <c r="D35" s="95"/>
      <c r="E35" s="559"/>
      <c r="F35" s="560"/>
      <c r="G35" s="560"/>
      <c r="H35" s="560"/>
      <c r="I35" s="561">
        <f>SUM(I26:I34)</f>
        <v>275253.77999999997</v>
      </c>
      <c r="J35" s="98"/>
    </row>
    <row r="36" spans="1:10" s="102" customFormat="1" ht="15" customHeight="1">
      <c r="A36" s="582"/>
      <c r="B36" s="583"/>
      <c r="C36" s="584"/>
      <c r="D36" s="585"/>
      <c r="E36" s="586"/>
      <c r="F36" s="587"/>
      <c r="G36" s="587"/>
      <c r="H36" s="587"/>
      <c r="I36" s="695">
        <f>TRUNC((I10+I23+I35),2)</f>
        <v>339566.83</v>
      </c>
      <c r="J36" s="98"/>
    </row>
    <row r="37" spans="1:10" s="102" customFormat="1">
      <c r="A37" s="588"/>
      <c r="B37" s="589"/>
      <c r="C37" s="686" t="s">
        <v>416</v>
      </c>
      <c r="D37" s="686"/>
      <c r="E37" s="686"/>
      <c r="F37" s="590"/>
      <c r="G37" s="590"/>
      <c r="H37" s="590"/>
      <c r="I37" s="695"/>
      <c r="J37" s="98"/>
    </row>
    <row r="38" spans="1:10">
      <c r="A38" s="588"/>
      <c r="B38" s="589"/>
      <c r="C38" s="686" t="s">
        <v>417</v>
      </c>
      <c r="D38" s="686"/>
      <c r="E38" s="686"/>
      <c r="F38" s="591"/>
      <c r="G38" s="592">
        <v>0.249</v>
      </c>
      <c r="H38" s="593"/>
      <c r="I38" s="594">
        <f>I36*G38</f>
        <v>84552.140670000008</v>
      </c>
      <c r="J38" s="98"/>
    </row>
    <row r="39" spans="1:10">
      <c r="A39" s="595"/>
      <c r="B39" s="596"/>
      <c r="C39" s="687" t="s">
        <v>418</v>
      </c>
      <c r="D39" s="687"/>
      <c r="E39" s="687"/>
      <c r="F39" s="596"/>
      <c r="G39" s="597"/>
      <c r="H39" s="597"/>
      <c r="I39" s="598">
        <f>TRUNC((I38+I36),2)</f>
        <v>424118.97</v>
      </c>
      <c r="J39" s="98">
        <f>I39+'PLAN ORÇ. PROJETÃO '!K110</f>
        <v>1429844.0899999999</v>
      </c>
    </row>
    <row r="40" spans="1:10">
      <c r="J40" s="98"/>
    </row>
    <row r="41" spans="1:10">
      <c r="J41" s="98"/>
    </row>
    <row r="42" spans="1:10">
      <c r="J42" s="98"/>
    </row>
    <row r="43" spans="1:10">
      <c r="J43" s="98"/>
    </row>
    <row r="44" spans="1:10">
      <c r="J44" s="98"/>
    </row>
    <row r="45" spans="1:10">
      <c r="J45" s="98"/>
    </row>
    <row r="46" spans="1:10">
      <c r="J46" s="98"/>
    </row>
    <row r="47" spans="1:10">
      <c r="J47" s="98"/>
    </row>
    <row r="48" spans="1:10">
      <c r="J48" s="98"/>
    </row>
    <row r="49" spans="10:10">
      <c r="J49" s="98"/>
    </row>
    <row r="50" spans="10:10">
      <c r="J50" s="98"/>
    </row>
    <row r="51" spans="10:10">
      <c r="J51" s="98"/>
    </row>
    <row r="52" spans="10:10">
      <c r="J52" s="98"/>
    </row>
    <row r="53" spans="10:10">
      <c r="J53" s="98"/>
    </row>
    <row r="54" spans="10:10">
      <c r="J54" s="98"/>
    </row>
    <row r="55" spans="10:10">
      <c r="J55" s="98"/>
    </row>
    <row r="56" spans="10:10">
      <c r="J56" s="98"/>
    </row>
    <row r="57" spans="10:10">
      <c r="J57" s="98"/>
    </row>
    <row r="58" spans="10:10">
      <c r="J58" s="98"/>
    </row>
    <row r="59" spans="10:10">
      <c r="J59" s="98"/>
    </row>
    <row r="60" spans="10:10">
      <c r="J60" s="98"/>
    </row>
    <row r="61" spans="10:10">
      <c r="J61" s="98"/>
    </row>
    <row r="62" spans="10:10">
      <c r="J62" s="98"/>
    </row>
    <row r="63" spans="10:10">
      <c r="J63" s="98"/>
    </row>
    <row r="64" spans="10:10">
      <c r="J64" s="98"/>
    </row>
    <row r="65" spans="10:10">
      <c r="J65" s="98"/>
    </row>
    <row r="66" spans="10:10">
      <c r="J66" s="98"/>
    </row>
    <row r="67" spans="10:10">
      <c r="J67" s="98"/>
    </row>
  </sheetData>
  <mergeCells count="14">
    <mergeCell ref="C38:E38"/>
    <mergeCell ref="C39:E39"/>
    <mergeCell ref="M13:M15"/>
    <mergeCell ref="Q13:Q15"/>
    <mergeCell ref="R13:R15"/>
    <mergeCell ref="K20:K21"/>
    <mergeCell ref="I36:I37"/>
    <mergeCell ref="C37:E37"/>
    <mergeCell ref="O12:P12"/>
    <mergeCell ref="F4:I4"/>
    <mergeCell ref="A5:I5"/>
    <mergeCell ref="A6:E6"/>
    <mergeCell ref="F6:H6"/>
    <mergeCell ref="K12:L12"/>
  </mergeCells>
  <printOptions horizontalCentered="1" gridLines="1"/>
  <pageMargins left="0.51181102362204722" right="0.51181102362204722" top="0.98425196850393704" bottom="0.98425196850393704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"/>
  <sheetViews>
    <sheetView tabSelected="1" topLeftCell="A85" workbookViewId="0">
      <selection activeCell="D86" sqref="D86"/>
    </sheetView>
  </sheetViews>
  <sheetFormatPr defaultRowHeight="12.75"/>
  <cols>
    <col min="1" max="1" width="6.85546875" style="367" customWidth="1"/>
    <col min="2" max="2" width="15.7109375" style="367" customWidth="1"/>
    <col min="3" max="3" width="13.85546875" style="367" customWidth="1"/>
    <col min="4" max="4" width="65.42578125" style="367" customWidth="1"/>
    <col min="5" max="5" width="9.140625" style="367"/>
    <col min="6" max="6" width="9.28515625" style="434" customWidth="1"/>
    <col min="7" max="7" width="10.7109375" style="367" customWidth="1"/>
    <col min="8" max="8" width="10.85546875" style="367" customWidth="1"/>
    <col min="9" max="9" width="11.7109375" style="367" customWidth="1"/>
    <col min="10" max="10" width="10.7109375" style="367" customWidth="1"/>
    <col min="11" max="11" width="11.7109375" style="367" customWidth="1"/>
    <col min="12" max="12" width="13.85546875" style="367" customWidth="1"/>
    <col min="13" max="13" width="9.140625" style="367"/>
    <col min="14" max="14" width="74.28515625" style="367" customWidth="1"/>
    <col min="15" max="16384" width="9.140625" style="367"/>
  </cols>
  <sheetData>
    <row r="1" spans="1:11">
      <c r="A1" s="363" t="s">
        <v>420</v>
      </c>
      <c r="B1" s="364"/>
      <c r="C1" s="364"/>
      <c r="D1" s="364"/>
      <c r="E1" s="364"/>
      <c r="F1" s="365"/>
      <c r="G1" s="364"/>
      <c r="H1" s="364"/>
      <c r="I1" s="364"/>
      <c r="J1" s="366"/>
    </row>
    <row r="2" spans="1:11">
      <c r="A2" s="363" t="s">
        <v>421</v>
      </c>
      <c r="B2" s="364"/>
      <c r="C2" s="364"/>
      <c r="D2" s="364"/>
      <c r="E2" s="364"/>
      <c r="F2" s="365"/>
      <c r="G2" s="364"/>
      <c r="H2" s="364"/>
      <c r="I2" s="364"/>
      <c r="J2" s="366"/>
    </row>
    <row r="3" spans="1:11">
      <c r="A3" s="368" t="s">
        <v>422</v>
      </c>
      <c r="B3" s="364"/>
      <c r="C3" s="364"/>
      <c r="D3" s="364"/>
      <c r="E3" s="364"/>
      <c r="F3" s="365"/>
      <c r="G3" s="364"/>
      <c r="H3" s="364"/>
      <c r="I3" s="364"/>
      <c r="J3" s="366"/>
    </row>
    <row r="4" spans="1:11">
      <c r="A4" s="369" t="s">
        <v>548</v>
      </c>
      <c r="B4" s="67"/>
      <c r="C4" s="67"/>
      <c r="D4" s="67"/>
      <c r="E4" s="68"/>
      <c r="F4" s="681" t="s">
        <v>419</v>
      </c>
      <c r="G4" s="681"/>
      <c r="H4" s="681"/>
      <c r="I4" s="681"/>
      <c r="J4" s="366"/>
    </row>
    <row r="5" spans="1:11" ht="15.75" customHeight="1" thickBot="1">
      <c r="A5" s="696" t="s">
        <v>423</v>
      </c>
      <c r="B5" s="697"/>
      <c r="C5" s="697"/>
      <c r="D5" s="697"/>
      <c r="E5" s="697"/>
      <c r="F5" s="697"/>
      <c r="G5" s="697"/>
      <c r="H5" s="697"/>
      <c r="I5" s="697"/>
      <c r="J5" s="698"/>
    </row>
    <row r="6" spans="1:11">
      <c r="A6" s="699" t="s">
        <v>192</v>
      </c>
      <c r="B6" s="701" t="s">
        <v>424</v>
      </c>
      <c r="C6" s="701" t="s">
        <v>425</v>
      </c>
      <c r="D6" s="703" t="s">
        <v>426</v>
      </c>
      <c r="E6" s="705" t="s">
        <v>16</v>
      </c>
      <c r="F6" s="707" t="s">
        <v>427</v>
      </c>
      <c r="G6" s="703" t="s">
        <v>428</v>
      </c>
      <c r="H6" s="709" t="s">
        <v>193</v>
      </c>
      <c r="I6" s="709" t="s">
        <v>429</v>
      </c>
      <c r="J6" s="714" t="s">
        <v>3</v>
      </c>
    </row>
    <row r="7" spans="1:11">
      <c r="A7" s="700"/>
      <c r="B7" s="702"/>
      <c r="C7" s="702"/>
      <c r="D7" s="704"/>
      <c r="E7" s="706"/>
      <c r="F7" s="708"/>
      <c r="G7" s="704"/>
      <c r="H7" s="710"/>
      <c r="I7" s="710"/>
      <c r="J7" s="715"/>
    </row>
    <row r="8" spans="1:11" ht="18" customHeight="1">
      <c r="A8" s="370">
        <v>1</v>
      </c>
      <c r="B8" s="371"/>
      <c r="C8" s="372"/>
      <c r="D8" s="373" t="s">
        <v>8</v>
      </c>
      <c r="E8" s="372"/>
      <c r="F8" s="374"/>
      <c r="G8" s="375"/>
      <c r="H8" s="375"/>
      <c r="I8" s="375"/>
      <c r="J8" s="376"/>
    </row>
    <row r="9" spans="1:11">
      <c r="A9" s="377"/>
      <c r="B9" s="36"/>
      <c r="C9" s="36"/>
      <c r="D9" s="378"/>
      <c r="E9" s="36"/>
      <c r="F9" s="379"/>
      <c r="G9" s="380"/>
      <c r="H9" s="380"/>
      <c r="I9" s="380"/>
      <c r="J9" s="380"/>
    </row>
    <row r="10" spans="1:11">
      <c r="A10" s="370" t="s">
        <v>9</v>
      </c>
      <c r="B10" s="381" t="s">
        <v>54</v>
      </c>
      <c r="C10" s="381" t="s">
        <v>72</v>
      </c>
      <c r="D10" s="382" t="s">
        <v>55</v>
      </c>
      <c r="E10" s="381" t="s">
        <v>53</v>
      </c>
      <c r="F10" s="383">
        <v>1</v>
      </c>
      <c r="G10" s="384"/>
      <c r="H10" s="385">
        <f>TRUNC(SUM(H11:H17),2)</f>
        <v>451.46</v>
      </c>
      <c r="I10" s="385">
        <f>TRUNC(SUM(I11:I17),2)</f>
        <v>53.13</v>
      </c>
      <c r="J10" s="386">
        <f>TRUNC((I10+H10),2)</f>
        <v>504.59</v>
      </c>
      <c r="K10" s="387"/>
    </row>
    <row r="11" spans="1:11">
      <c r="A11" s="377"/>
      <c r="B11" s="50" t="s">
        <v>18</v>
      </c>
      <c r="C11" s="50" t="s">
        <v>50</v>
      </c>
      <c r="D11" s="58" t="s">
        <v>51</v>
      </c>
      <c r="E11" s="50" t="s">
        <v>14</v>
      </c>
      <c r="F11" s="51">
        <v>1</v>
      </c>
      <c r="G11" s="52">
        <v>20.23</v>
      </c>
      <c r="H11" s="43"/>
      <c r="I11" s="388">
        <f>TRUNC(G11*F11,2)</f>
        <v>20.23</v>
      </c>
      <c r="J11" s="716"/>
    </row>
    <row r="12" spans="1:11">
      <c r="A12" s="377"/>
      <c r="B12" s="50" t="s">
        <v>18</v>
      </c>
      <c r="C12" s="50" t="s">
        <v>35</v>
      </c>
      <c r="D12" s="58" t="s">
        <v>20</v>
      </c>
      <c r="E12" s="50" t="s">
        <v>14</v>
      </c>
      <c r="F12" s="51">
        <v>2</v>
      </c>
      <c r="G12" s="52">
        <v>16.45</v>
      </c>
      <c r="H12" s="43"/>
      <c r="I12" s="388">
        <f>TRUNC(G12*F12,2)</f>
        <v>32.9</v>
      </c>
      <c r="J12" s="717"/>
    </row>
    <row r="13" spans="1:11" ht="38.25">
      <c r="A13" s="377"/>
      <c r="B13" s="50" t="s">
        <v>18</v>
      </c>
      <c r="C13" s="50" t="s">
        <v>56</v>
      </c>
      <c r="D13" s="58" t="s">
        <v>57</v>
      </c>
      <c r="E13" s="50" t="s">
        <v>49</v>
      </c>
      <c r="F13" s="51">
        <v>1.0200000000000001E-2</v>
      </c>
      <c r="G13" s="52">
        <v>265.32</v>
      </c>
      <c r="H13" s="43">
        <f t="shared" ref="H13:H17" si="0">TRUNC((G13*F13),2)</f>
        <v>2.7</v>
      </c>
      <c r="I13" s="351"/>
      <c r="J13" s="717"/>
    </row>
    <row r="14" spans="1:11" ht="25.5">
      <c r="A14" s="377"/>
      <c r="B14" s="50" t="s">
        <v>23</v>
      </c>
      <c r="C14" s="50" t="s">
        <v>58</v>
      </c>
      <c r="D14" s="58" t="s">
        <v>59</v>
      </c>
      <c r="E14" s="50" t="s">
        <v>1</v>
      </c>
      <c r="F14" s="51">
        <v>1</v>
      </c>
      <c r="G14" s="52">
        <v>2.64</v>
      </c>
      <c r="H14" s="43">
        <f t="shared" si="0"/>
        <v>2.64</v>
      </c>
      <c r="I14" s="351"/>
      <c r="J14" s="717"/>
    </row>
    <row r="15" spans="1:11" ht="25.5">
      <c r="A15" s="377"/>
      <c r="B15" s="50" t="s">
        <v>23</v>
      </c>
      <c r="C15" s="50" t="s">
        <v>60</v>
      </c>
      <c r="D15" s="58" t="s">
        <v>61</v>
      </c>
      <c r="E15" s="50" t="s">
        <v>1</v>
      </c>
      <c r="F15" s="51">
        <v>4</v>
      </c>
      <c r="G15" s="52">
        <v>5</v>
      </c>
      <c r="H15" s="43">
        <f t="shared" si="0"/>
        <v>20</v>
      </c>
      <c r="I15" s="351"/>
      <c r="J15" s="717"/>
    </row>
    <row r="16" spans="1:11" ht="25.5">
      <c r="A16" s="377"/>
      <c r="B16" s="50" t="s">
        <v>23</v>
      </c>
      <c r="C16" s="50" t="s">
        <v>62</v>
      </c>
      <c r="D16" s="58" t="s">
        <v>63</v>
      </c>
      <c r="E16" s="50" t="s">
        <v>53</v>
      </c>
      <c r="F16" s="51">
        <v>1</v>
      </c>
      <c r="G16" s="52">
        <v>425</v>
      </c>
      <c r="H16" s="43">
        <f t="shared" si="0"/>
        <v>425</v>
      </c>
      <c r="I16" s="351"/>
      <c r="J16" s="717"/>
    </row>
    <row r="17" spans="1:11">
      <c r="A17" s="377"/>
      <c r="B17" s="50" t="s">
        <v>23</v>
      </c>
      <c r="C17" s="50" t="s">
        <v>64</v>
      </c>
      <c r="D17" s="58" t="s">
        <v>65</v>
      </c>
      <c r="E17" s="50" t="s">
        <v>52</v>
      </c>
      <c r="F17" s="51">
        <v>0.104</v>
      </c>
      <c r="G17" s="52">
        <v>10.83</v>
      </c>
      <c r="H17" s="43">
        <f t="shared" si="0"/>
        <v>1.1200000000000001</v>
      </c>
      <c r="I17" s="351"/>
      <c r="J17" s="718"/>
    </row>
    <row r="18" spans="1:11">
      <c r="A18" s="389"/>
      <c r="B18" s="36"/>
      <c r="C18" s="36"/>
      <c r="D18" s="378"/>
      <c r="E18" s="36"/>
      <c r="F18" s="379"/>
      <c r="G18" s="380"/>
      <c r="H18" s="380"/>
      <c r="I18" s="380"/>
      <c r="J18" s="380"/>
    </row>
    <row r="19" spans="1:11">
      <c r="A19" s="390">
        <v>2</v>
      </c>
      <c r="B19" s="391"/>
      <c r="C19" s="391"/>
      <c r="D19" s="392" t="s">
        <v>430</v>
      </c>
      <c r="E19" s="391"/>
      <c r="F19" s="393"/>
      <c r="G19" s="394"/>
      <c r="H19" s="394"/>
      <c r="I19" s="395"/>
      <c r="J19" s="396"/>
    </row>
    <row r="20" spans="1:11" ht="25.5">
      <c r="A20" s="397" t="s">
        <v>26</v>
      </c>
      <c r="B20" s="398" t="s">
        <v>431</v>
      </c>
      <c r="C20" s="398" t="s">
        <v>432</v>
      </c>
      <c r="D20" s="399" t="s">
        <v>433</v>
      </c>
      <c r="E20" s="398" t="s">
        <v>49</v>
      </c>
      <c r="F20" s="400" t="s">
        <v>17</v>
      </c>
      <c r="G20" s="401">
        <v>65.069999999999993</v>
      </c>
      <c r="H20" s="385">
        <f>TRUNC(SUM(H21),2)</f>
        <v>0</v>
      </c>
      <c r="I20" s="385">
        <f>TRUNC(SUM(I21),2)</f>
        <v>65.069999999999993</v>
      </c>
      <c r="J20" s="384">
        <f>TRUNC(I20+H20,2)</f>
        <v>65.069999999999993</v>
      </c>
      <c r="K20" s="387"/>
    </row>
    <row r="21" spans="1:11">
      <c r="A21" s="377"/>
      <c r="B21" s="50" t="s">
        <v>18</v>
      </c>
      <c r="C21" s="50" t="s">
        <v>35</v>
      </c>
      <c r="D21" s="58" t="s">
        <v>20</v>
      </c>
      <c r="E21" s="50" t="s">
        <v>14</v>
      </c>
      <c r="F21" s="51">
        <v>3.956</v>
      </c>
      <c r="G21" s="43">
        <v>16.45</v>
      </c>
      <c r="H21" s="43"/>
      <c r="I21" s="43">
        <f>TRUNC((G21*F21),2)</f>
        <v>65.069999999999993</v>
      </c>
      <c r="J21" s="43"/>
    </row>
    <row r="22" spans="1:11">
      <c r="A22" s="402"/>
      <c r="B22" s="36"/>
      <c r="C22" s="36"/>
      <c r="D22" s="378"/>
      <c r="E22" s="36"/>
      <c r="F22" s="379"/>
      <c r="G22" s="380"/>
      <c r="H22" s="380"/>
      <c r="I22" s="380"/>
      <c r="J22" s="380"/>
    </row>
    <row r="23" spans="1:11">
      <c r="A23" s="397" t="s">
        <v>389</v>
      </c>
      <c r="B23" s="381" t="s">
        <v>431</v>
      </c>
      <c r="C23" s="381">
        <v>96995</v>
      </c>
      <c r="D23" s="382" t="s">
        <v>434</v>
      </c>
      <c r="E23" s="381" t="s">
        <v>49</v>
      </c>
      <c r="F23" s="383" t="s">
        <v>17</v>
      </c>
      <c r="G23" s="384">
        <v>39.450000000000003</v>
      </c>
      <c r="H23" s="385">
        <f>TRUNC(SUM(H24),2)</f>
        <v>0</v>
      </c>
      <c r="I23" s="385">
        <f>TRUNC(SUM(I24),2)</f>
        <v>39.450000000000003</v>
      </c>
      <c r="J23" s="384">
        <f>TRUNC(I23+H23,2)</f>
        <v>39.450000000000003</v>
      </c>
      <c r="K23" s="387"/>
    </row>
    <row r="24" spans="1:11">
      <c r="A24" s="377"/>
      <c r="B24" s="50" t="s">
        <v>18</v>
      </c>
      <c r="C24" s="50">
        <v>88316</v>
      </c>
      <c r="D24" s="58" t="s">
        <v>20</v>
      </c>
      <c r="E24" s="50" t="s">
        <v>14</v>
      </c>
      <c r="F24" s="51">
        <v>2.3986999999999998</v>
      </c>
      <c r="G24" s="52">
        <v>16.45</v>
      </c>
      <c r="H24" s="43"/>
      <c r="I24" s="43">
        <f>TRUNC((G24*F24),2)</f>
        <v>39.450000000000003</v>
      </c>
      <c r="J24" s="43"/>
    </row>
    <row r="25" spans="1:11">
      <c r="A25" s="377"/>
      <c r="B25" s="36"/>
      <c r="C25" s="36"/>
      <c r="D25" s="378"/>
      <c r="E25" s="36"/>
      <c r="F25" s="379"/>
      <c r="G25" s="380"/>
      <c r="H25" s="380"/>
      <c r="I25" s="380"/>
      <c r="J25" s="380"/>
    </row>
    <row r="26" spans="1:11" ht="25.5">
      <c r="A26" s="397" t="s">
        <v>391</v>
      </c>
      <c r="B26" s="381" t="s">
        <v>435</v>
      </c>
      <c r="C26" s="381">
        <v>94975</v>
      </c>
      <c r="D26" s="382" t="s">
        <v>436</v>
      </c>
      <c r="E26" s="381" t="s">
        <v>49</v>
      </c>
      <c r="F26" s="383" t="s">
        <v>17</v>
      </c>
      <c r="G26" s="384">
        <v>401.6</v>
      </c>
      <c r="H26" s="385">
        <f>TRUNC(SUM(H27:H30),2)</f>
        <v>234</v>
      </c>
      <c r="I26" s="385">
        <f>TRUNC(SUM(I27:I30),2)</f>
        <v>164.82</v>
      </c>
      <c r="J26" s="384">
        <f>TRUNC(I26+H26,2)</f>
        <v>398.82</v>
      </c>
      <c r="K26" s="387"/>
    </row>
    <row r="27" spans="1:11" ht="15" customHeight="1">
      <c r="A27" s="377"/>
      <c r="B27" s="50" t="s">
        <v>18</v>
      </c>
      <c r="C27" s="50" t="s">
        <v>35</v>
      </c>
      <c r="D27" s="58" t="s">
        <v>20</v>
      </c>
      <c r="E27" s="50" t="s">
        <v>14</v>
      </c>
      <c r="F27" s="51">
        <v>10.02</v>
      </c>
      <c r="G27" s="52">
        <v>16.45</v>
      </c>
      <c r="H27" s="42"/>
      <c r="I27" s="43">
        <f>TRUNC((G27*F27),2)</f>
        <v>164.82</v>
      </c>
      <c r="J27" s="716"/>
    </row>
    <row r="28" spans="1:11" ht="25.5">
      <c r="A28" s="377"/>
      <c r="B28" s="50" t="s">
        <v>23</v>
      </c>
      <c r="C28" s="50">
        <v>370</v>
      </c>
      <c r="D28" s="58" t="s">
        <v>437</v>
      </c>
      <c r="E28" s="50" t="s">
        <v>49</v>
      </c>
      <c r="F28" s="51">
        <v>0.85</v>
      </c>
      <c r="G28" s="52">
        <v>62.75</v>
      </c>
      <c r="H28" s="43">
        <f>TRUNC((G28*F28),2)</f>
        <v>53.33</v>
      </c>
      <c r="I28" s="42"/>
      <c r="J28" s="717"/>
    </row>
    <row r="29" spans="1:11">
      <c r="A29" s="402"/>
      <c r="B29" s="50" t="s">
        <v>23</v>
      </c>
      <c r="C29" s="50" t="s">
        <v>438</v>
      </c>
      <c r="D29" s="58" t="s">
        <v>439</v>
      </c>
      <c r="E29" s="50" t="s">
        <v>52</v>
      </c>
      <c r="F29" s="51">
        <v>277.72000000000003</v>
      </c>
      <c r="G29" s="52">
        <v>0.51</v>
      </c>
      <c r="H29" s="43">
        <f>TRUNC((G29*F29),2)</f>
        <v>141.63</v>
      </c>
      <c r="I29" s="42"/>
      <c r="J29" s="717"/>
    </row>
    <row r="30" spans="1:11" ht="25.5">
      <c r="A30" s="377"/>
      <c r="B30" s="50" t="s">
        <v>23</v>
      </c>
      <c r="C30" s="50" t="s">
        <v>440</v>
      </c>
      <c r="D30" s="58" t="s">
        <v>441</v>
      </c>
      <c r="E30" s="50" t="s">
        <v>49</v>
      </c>
      <c r="F30" s="51">
        <v>0.58899999999999997</v>
      </c>
      <c r="G30" s="52">
        <v>66.290000000000006</v>
      </c>
      <c r="H30" s="43">
        <f>TRUNC((G30*F30),2)</f>
        <v>39.04</v>
      </c>
      <c r="I30" s="42"/>
      <c r="J30" s="718"/>
    </row>
    <row r="31" spans="1:11" s="403" customFormat="1">
      <c r="A31" s="377"/>
      <c r="B31" s="36"/>
      <c r="C31" s="36"/>
      <c r="D31" s="378"/>
      <c r="E31" s="36"/>
      <c r="F31" s="379"/>
      <c r="G31" s="380"/>
      <c r="H31" s="380"/>
      <c r="I31" s="380"/>
      <c r="J31" s="380"/>
      <c r="K31" s="367"/>
    </row>
    <row r="32" spans="1:11">
      <c r="A32" s="397" t="s">
        <v>393</v>
      </c>
      <c r="B32" s="381" t="s">
        <v>24</v>
      </c>
      <c r="C32" s="381" t="s">
        <v>442</v>
      </c>
      <c r="D32" s="382" t="s">
        <v>443</v>
      </c>
      <c r="E32" s="381" t="s">
        <v>444</v>
      </c>
      <c r="F32" s="383" t="s">
        <v>17</v>
      </c>
      <c r="G32" s="384">
        <v>107.95</v>
      </c>
      <c r="H32" s="385">
        <f>TRUNC(SUM(H33:H35),2)</f>
        <v>0.36</v>
      </c>
      <c r="I32" s="385">
        <f>TRUNC(SUM(I33:I35),2)</f>
        <v>107.59</v>
      </c>
      <c r="J32" s="384">
        <f>TRUNC(I32+H32,2)</f>
        <v>107.95</v>
      </c>
      <c r="K32" s="387">
        <v>107.95</v>
      </c>
    </row>
    <row r="33" spans="1:11">
      <c r="A33" s="377"/>
      <c r="B33" s="50" t="s">
        <v>18</v>
      </c>
      <c r="C33" s="53">
        <v>88309</v>
      </c>
      <c r="D33" s="120" t="s">
        <v>445</v>
      </c>
      <c r="E33" s="50" t="s">
        <v>14</v>
      </c>
      <c r="F33" s="121">
        <v>1.65</v>
      </c>
      <c r="G33" s="43">
        <v>20.350000000000001</v>
      </c>
      <c r="H33" s="43"/>
      <c r="I33" s="42">
        <f>TRUNC((G33*F33),2)</f>
        <v>33.57</v>
      </c>
      <c r="J33" s="716"/>
    </row>
    <row r="34" spans="1:11">
      <c r="A34" s="377"/>
      <c r="B34" s="50" t="s">
        <v>18</v>
      </c>
      <c r="C34" s="53" t="s">
        <v>35</v>
      </c>
      <c r="D34" s="120" t="s">
        <v>20</v>
      </c>
      <c r="E34" s="50" t="s">
        <v>14</v>
      </c>
      <c r="F34" s="121">
        <v>4.5</v>
      </c>
      <c r="G34" s="43">
        <v>16.45</v>
      </c>
      <c r="H34" s="43"/>
      <c r="I34" s="42">
        <f>TRUNC((G34*F34),2)</f>
        <v>74.02</v>
      </c>
      <c r="J34" s="717"/>
    </row>
    <row r="35" spans="1:11" ht="25.5">
      <c r="A35" s="377"/>
      <c r="B35" s="50" t="s">
        <v>18</v>
      </c>
      <c r="C35" s="53" t="s">
        <v>446</v>
      </c>
      <c r="D35" s="120" t="s">
        <v>447</v>
      </c>
      <c r="E35" s="50" t="s">
        <v>19</v>
      </c>
      <c r="F35" s="121">
        <v>0.3</v>
      </c>
      <c r="G35" s="43">
        <v>1.21</v>
      </c>
      <c r="H35" s="42">
        <f>TRUNC((F35*G35),2)</f>
        <v>0.36</v>
      </c>
      <c r="I35" s="42"/>
      <c r="J35" s="718"/>
    </row>
    <row r="36" spans="1:11">
      <c r="A36" s="377"/>
      <c r="B36" s="48"/>
      <c r="C36" s="48"/>
      <c r="D36" s="65"/>
      <c r="E36" s="48"/>
      <c r="F36" s="56"/>
      <c r="G36" s="57"/>
      <c r="H36" s="145"/>
      <c r="I36" s="145"/>
      <c r="J36" s="49"/>
    </row>
    <row r="37" spans="1:11" ht="38.25">
      <c r="A37" s="397" t="s">
        <v>394</v>
      </c>
      <c r="B37" s="381" t="s">
        <v>24</v>
      </c>
      <c r="C37" s="381" t="s">
        <v>448</v>
      </c>
      <c r="D37" s="382" t="s">
        <v>449</v>
      </c>
      <c r="E37" s="381" t="s">
        <v>1</v>
      </c>
      <c r="F37" s="383" t="s">
        <v>17</v>
      </c>
      <c r="G37" s="384"/>
      <c r="H37" s="385">
        <f>TRUNC(SUM(H38:H40),2)</f>
        <v>1.1399999999999999</v>
      </c>
      <c r="I37" s="385">
        <f>TRUNC(SUM(I38:I40),2)</f>
        <v>3.73</v>
      </c>
      <c r="J37" s="384">
        <f>TRUNC(I37+H37,2)</f>
        <v>4.87</v>
      </c>
      <c r="K37" s="387"/>
    </row>
    <row r="38" spans="1:11">
      <c r="A38" s="377"/>
      <c r="B38" s="50" t="s">
        <v>18</v>
      </c>
      <c r="C38" s="50" t="s">
        <v>34</v>
      </c>
      <c r="D38" s="58" t="s">
        <v>21</v>
      </c>
      <c r="E38" s="50" t="s">
        <v>14</v>
      </c>
      <c r="F38" s="51">
        <v>0.1</v>
      </c>
      <c r="G38" s="52">
        <v>16.32</v>
      </c>
      <c r="H38" s="42"/>
      <c r="I38" s="42">
        <f>TRUNC((G38*F38),2)</f>
        <v>1.63</v>
      </c>
      <c r="J38" s="716"/>
    </row>
    <row r="39" spans="1:11">
      <c r="A39" s="377"/>
      <c r="B39" s="50" t="s">
        <v>18</v>
      </c>
      <c r="C39" s="50" t="s">
        <v>33</v>
      </c>
      <c r="D39" s="58" t="s">
        <v>22</v>
      </c>
      <c r="E39" s="50" t="s">
        <v>14</v>
      </c>
      <c r="F39" s="51">
        <v>0.1</v>
      </c>
      <c r="G39" s="52">
        <v>21.07</v>
      </c>
      <c r="H39" s="42"/>
      <c r="I39" s="42">
        <f>TRUNC((G39*F39),2)</f>
        <v>2.1</v>
      </c>
      <c r="J39" s="717"/>
    </row>
    <row r="40" spans="1:11">
      <c r="A40" s="377"/>
      <c r="B40" s="50" t="s">
        <v>23</v>
      </c>
      <c r="C40" s="50">
        <v>2688</v>
      </c>
      <c r="D40" s="58" t="s">
        <v>450</v>
      </c>
      <c r="E40" s="50" t="s">
        <v>1</v>
      </c>
      <c r="F40" s="51">
        <v>1</v>
      </c>
      <c r="G40" s="52">
        <v>1.1399999999999999</v>
      </c>
      <c r="H40" s="42">
        <f>TRUNC((F40*G40),2)</f>
        <v>1.1399999999999999</v>
      </c>
      <c r="I40" s="42"/>
      <c r="J40" s="718"/>
    </row>
    <row r="41" spans="1:11">
      <c r="A41" s="377"/>
      <c r="B41" s="159"/>
      <c r="C41" s="160"/>
      <c r="D41" s="161" t="s">
        <v>451</v>
      </c>
      <c r="E41" s="160"/>
      <c r="F41" s="162"/>
      <c r="G41" s="163"/>
      <c r="H41" s="164"/>
      <c r="I41" s="164"/>
      <c r="J41" s="165"/>
    </row>
    <row r="42" spans="1:11">
      <c r="A42" s="377"/>
      <c r="B42" s="47"/>
      <c r="C42" s="47"/>
      <c r="D42" s="150"/>
      <c r="E42" s="47"/>
      <c r="F42" s="45"/>
      <c r="G42" s="35"/>
      <c r="H42" s="46"/>
      <c r="I42" s="46"/>
      <c r="J42" s="47"/>
    </row>
    <row r="43" spans="1:11" ht="38.25">
      <c r="A43" s="397" t="s">
        <v>396</v>
      </c>
      <c r="B43" s="381" t="s">
        <v>24</v>
      </c>
      <c r="C43" s="381" t="s">
        <v>452</v>
      </c>
      <c r="D43" s="382" t="s">
        <v>453</v>
      </c>
      <c r="E43" s="381" t="s">
        <v>1</v>
      </c>
      <c r="F43" s="383" t="s">
        <v>17</v>
      </c>
      <c r="G43" s="384"/>
      <c r="H43" s="385">
        <f>TRUNC(SUM(H44:H46),2)</f>
        <v>2.5299999999999998</v>
      </c>
      <c r="I43" s="385">
        <f>TRUNC(SUM(I44:I46),2)</f>
        <v>18.690000000000001</v>
      </c>
      <c r="J43" s="384">
        <f>TRUNC(I43+H43,2)</f>
        <v>21.22</v>
      </c>
      <c r="K43" s="387"/>
    </row>
    <row r="44" spans="1:11" ht="38.25">
      <c r="A44" s="377"/>
      <c r="B44" s="50" t="s">
        <v>23</v>
      </c>
      <c r="C44" s="50">
        <v>39247</v>
      </c>
      <c r="D44" s="58" t="s">
        <v>454</v>
      </c>
      <c r="E44" s="50" t="s">
        <v>1</v>
      </c>
      <c r="F44" s="51">
        <v>1</v>
      </c>
      <c r="G44" s="52">
        <v>2.5299999999999998</v>
      </c>
      <c r="H44" s="42">
        <f>TRUNC((F44*G44),2)</f>
        <v>2.5299999999999998</v>
      </c>
      <c r="I44" s="42"/>
      <c r="J44" s="716"/>
    </row>
    <row r="45" spans="1:11">
      <c r="A45" s="389"/>
      <c r="B45" s="50" t="s">
        <v>18</v>
      </c>
      <c r="C45" s="50" t="s">
        <v>34</v>
      </c>
      <c r="D45" s="58" t="s">
        <v>21</v>
      </c>
      <c r="E45" s="50" t="s">
        <v>14</v>
      </c>
      <c r="F45" s="51">
        <v>0.5</v>
      </c>
      <c r="G45" s="52">
        <v>16.32</v>
      </c>
      <c r="H45" s="42"/>
      <c r="I45" s="42">
        <f t="shared" ref="I45:I46" si="1">TRUNC((G45*F45),2)</f>
        <v>8.16</v>
      </c>
      <c r="J45" s="717"/>
    </row>
    <row r="46" spans="1:11">
      <c r="A46" s="377"/>
      <c r="B46" s="50" t="s">
        <v>18</v>
      </c>
      <c r="C46" s="50" t="s">
        <v>33</v>
      </c>
      <c r="D46" s="58" t="s">
        <v>22</v>
      </c>
      <c r="E46" s="50" t="s">
        <v>14</v>
      </c>
      <c r="F46" s="51">
        <v>0.5</v>
      </c>
      <c r="G46" s="52">
        <v>21.07</v>
      </c>
      <c r="H46" s="42"/>
      <c r="I46" s="42">
        <f t="shared" si="1"/>
        <v>10.53</v>
      </c>
      <c r="J46" s="718"/>
    </row>
    <row r="47" spans="1:11">
      <c r="A47" s="377"/>
      <c r="B47" s="48"/>
      <c r="C47" s="48"/>
      <c r="D47" s="161" t="s">
        <v>455</v>
      </c>
      <c r="E47" s="48"/>
      <c r="F47" s="56"/>
      <c r="G47" s="57"/>
      <c r="H47" s="145"/>
      <c r="I47" s="145"/>
      <c r="J47" s="49"/>
    </row>
    <row r="48" spans="1:11">
      <c r="A48" s="377"/>
      <c r="B48" s="48"/>
      <c r="C48" s="48"/>
      <c r="D48" s="170"/>
      <c r="E48" s="48"/>
      <c r="F48" s="56"/>
      <c r="G48" s="57"/>
      <c r="H48" s="145"/>
      <c r="I48" s="145"/>
      <c r="J48" s="49"/>
    </row>
    <row r="49" spans="1:11">
      <c r="A49" s="397" t="s">
        <v>397</v>
      </c>
      <c r="B49" s="381" t="s">
        <v>456</v>
      </c>
      <c r="C49" s="381" t="s">
        <v>457</v>
      </c>
      <c r="D49" s="382" t="s">
        <v>458</v>
      </c>
      <c r="E49" s="381" t="s">
        <v>16</v>
      </c>
      <c r="F49" s="383" t="s">
        <v>17</v>
      </c>
      <c r="G49" s="381">
        <v>160.61000000000001</v>
      </c>
      <c r="H49" s="385">
        <f>TRUNC(SUM(H50:H59),2)</f>
        <v>52.52</v>
      </c>
      <c r="I49" s="385">
        <f>TRUNC(SUM(I50:I59),2)</f>
        <v>107.92</v>
      </c>
      <c r="J49" s="404">
        <f>TRUNC((I49+H49),2)</f>
        <v>160.44</v>
      </c>
      <c r="K49" s="387"/>
    </row>
    <row r="50" spans="1:11">
      <c r="A50" s="377"/>
      <c r="B50" s="405" t="s">
        <v>23</v>
      </c>
      <c r="C50" s="405" t="s">
        <v>459</v>
      </c>
      <c r="D50" s="406" t="s">
        <v>460</v>
      </c>
      <c r="E50" s="407" t="s">
        <v>52</v>
      </c>
      <c r="F50" s="408">
        <v>2.15</v>
      </c>
      <c r="G50" s="409">
        <v>4.95</v>
      </c>
      <c r="H50" s="42">
        <f t="shared" ref="H50:H56" si="2">TRUNC((F50*G50),2)</f>
        <v>10.64</v>
      </c>
      <c r="I50" s="409"/>
      <c r="J50" s="711"/>
    </row>
    <row r="51" spans="1:11" ht="25.5">
      <c r="A51" s="377"/>
      <c r="B51" s="405" t="s">
        <v>23</v>
      </c>
      <c r="C51" s="405" t="s">
        <v>461</v>
      </c>
      <c r="D51" s="406" t="s">
        <v>437</v>
      </c>
      <c r="E51" s="407" t="s">
        <v>49</v>
      </c>
      <c r="F51" s="408">
        <v>6.5299999999999997E-2</v>
      </c>
      <c r="G51" s="409">
        <v>62.75</v>
      </c>
      <c r="H51" s="42">
        <f>TRUNC((F51*G51),2)</f>
        <v>4.09</v>
      </c>
      <c r="I51" s="409"/>
      <c r="J51" s="712"/>
    </row>
    <row r="52" spans="1:11">
      <c r="A52" s="377"/>
      <c r="B52" s="405" t="s">
        <v>23</v>
      </c>
      <c r="C52" s="405" t="s">
        <v>462</v>
      </c>
      <c r="D52" s="406" t="s">
        <v>463</v>
      </c>
      <c r="E52" s="407" t="s">
        <v>52</v>
      </c>
      <c r="F52" s="408">
        <v>3.0095999999999998</v>
      </c>
      <c r="G52" s="409">
        <v>0.59</v>
      </c>
      <c r="H52" s="42">
        <f t="shared" si="2"/>
        <v>1.77</v>
      </c>
      <c r="I52" s="409"/>
      <c r="J52" s="712"/>
    </row>
    <row r="53" spans="1:11" ht="25.5">
      <c r="A53" s="377"/>
      <c r="B53" s="405" t="s">
        <v>23</v>
      </c>
      <c r="C53" s="405" t="s">
        <v>464</v>
      </c>
      <c r="D53" s="406" t="s">
        <v>465</v>
      </c>
      <c r="E53" s="407" t="s">
        <v>53</v>
      </c>
      <c r="F53" s="408">
        <v>0.06</v>
      </c>
      <c r="G53" s="409">
        <v>25.81</v>
      </c>
      <c r="H53" s="42">
        <f t="shared" si="2"/>
        <v>1.54</v>
      </c>
      <c r="I53" s="409"/>
      <c r="J53" s="712"/>
    </row>
    <row r="54" spans="1:11">
      <c r="A54" s="377"/>
      <c r="B54" s="405" t="s">
        <v>23</v>
      </c>
      <c r="C54" s="405" t="s">
        <v>438</v>
      </c>
      <c r="D54" s="406" t="s">
        <v>439</v>
      </c>
      <c r="E54" s="407" t="s">
        <v>52</v>
      </c>
      <c r="F54" s="408">
        <v>18.5</v>
      </c>
      <c r="G54" s="409">
        <v>0.51</v>
      </c>
      <c r="H54" s="42">
        <f t="shared" si="2"/>
        <v>9.43</v>
      </c>
      <c r="I54" s="409"/>
      <c r="J54" s="712"/>
    </row>
    <row r="55" spans="1:11" ht="25.5">
      <c r="A55" s="377"/>
      <c r="B55" s="405" t="s">
        <v>23</v>
      </c>
      <c r="C55" s="405" t="s">
        <v>440</v>
      </c>
      <c r="D55" s="406" t="s">
        <v>441</v>
      </c>
      <c r="E55" s="407" t="s">
        <v>49</v>
      </c>
      <c r="F55" s="408">
        <v>3.6600000000000001E-2</v>
      </c>
      <c r="G55" s="409">
        <v>66.290000000000006</v>
      </c>
      <c r="H55" s="42">
        <f>TRUNC((F55*G55),2)</f>
        <v>2.42</v>
      </c>
      <c r="I55" s="409"/>
      <c r="J55" s="712"/>
    </row>
    <row r="56" spans="1:11" ht="25.5">
      <c r="A56" s="377"/>
      <c r="B56" s="405" t="s">
        <v>23</v>
      </c>
      <c r="C56" s="405" t="s">
        <v>466</v>
      </c>
      <c r="D56" s="406" t="s">
        <v>467</v>
      </c>
      <c r="E56" s="407" t="s">
        <v>49</v>
      </c>
      <c r="F56" s="408">
        <v>4.0000000000000001E-3</v>
      </c>
      <c r="G56" s="409">
        <v>66.290000000000006</v>
      </c>
      <c r="H56" s="42">
        <f t="shared" si="2"/>
        <v>0.26</v>
      </c>
      <c r="I56" s="409"/>
      <c r="J56" s="712"/>
    </row>
    <row r="57" spans="1:11">
      <c r="A57" s="377"/>
      <c r="B57" s="405" t="s">
        <v>23</v>
      </c>
      <c r="C57" s="405" t="s">
        <v>468</v>
      </c>
      <c r="D57" s="406" t="s">
        <v>469</v>
      </c>
      <c r="E57" s="407" t="s">
        <v>16</v>
      </c>
      <c r="F57" s="408">
        <v>60.48</v>
      </c>
      <c r="G57" s="409">
        <v>0.37</v>
      </c>
      <c r="H57" s="42">
        <f>TRUNC((F57*G57),2)</f>
        <v>22.37</v>
      </c>
      <c r="I57" s="409"/>
      <c r="J57" s="712"/>
    </row>
    <row r="58" spans="1:11">
      <c r="A58" s="377"/>
      <c r="B58" s="405" t="s">
        <v>18</v>
      </c>
      <c r="C58" s="405" t="s">
        <v>470</v>
      </c>
      <c r="D58" s="406" t="s">
        <v>445</v>
      </c>
      <c r="E58" s="407" t="s">
        <v>14</v>
      </c>
      <c r="F58" s="408">
        <v>1.6789000000000001</v>
      </c>
      <c r="G58" s="409">
        <v>20.350000000000001</v>
      </c>
      <c r="H58" s="409"/>
      <c r="I58" s="42">
        <f t="shared" ref="I58:I59" si="3">TRUNC((G58*F58),2)</f>
        <v>34.159999999999997</v>
      </c>
      <c r="J58" s="712"/>
    </row>
    <row r="59" spans="1:11">
      <c r="A59" s="377"/>
      <c r="B59" s="405" t="s">
        <v>18</v>
      </c>
      <c r="C59" s="405" t="s">
        <v>35</v>
      </c>
      <c r="D59" s="406" t="s">
        <v>20</v>
      </c>
      <c r="E59" s="407" t="s">
        <v>14</v>
      </c>
      <c r="F59" s="408">
        <v>4.4839000000000002</v>
      </c>
      <c r="G59" s="409">
        <v>16.45</v>
      </c>
      <c r="H59" s="409"/>
      <c r="I59" s="42">
        <f t="shared" si="3"/>
        <v>73.760000000000005</v>
      </c>
      <c r="J59" s="713"/>
    </row>
    <row r="60" spans="1:11">
      <c r="A60" s="377"/>
      <c r="B60" s="410"/>
      <c r="C60" s="410"/>
      <c r="D60" s="411"/>
      <c r="E60" s="410"/>
      <c r="F60" s="410"/>
      <c r="G60" s="410"/>
      <c r="H60" s="410"/>
      <c r="I60" s="410"/>
      <c r="J60" s="412"/>
    </row>
    <row r="61" spans="1:11" ht="38.25">
      <c r="A61" s="397" t="s">
        <v>398</v>
      </c>
      <c r="B61" s="381" t="s">
        <v>471</v>
      </c>
      <c r="C61" s="381">
        <v>92364</v>
      </c>
      <c r="D61" s="382" t="s">
        <v>472</v>
      </c>
      <c r="E61" s="381" t="s">
        <v>1</v>
      </c>
      <c r="F61" s="383"/>
      <c r="G61" s="384">
        <v>35.78</v>
      </c>
      <c r="H61" s="385">
        <f>TRUNC(SUM(H62:H64),2)</f>
        <v>29.2</v>
      </c>
      <c r="I61" s="385">
        <f>TRUNC(SUM(I62:I64),2)</f>
        <v>6.58</v>
      </c>
      <c r="J61" s="384">
        <f>TRUNC(I61+H61,2)</f>
        <v>35.78</v>
      </c>
      <c r="K61" s="387">
        <v>35.78</v>
      </c>
    </row>
    <row r="62" spans="1:11" ht="25.5">
      <c r="A62" s="377"/>
      <c r="B62" s="50" t="s">
        <v>18</v>
      </c>
      <c r="C62" s="53">
        <v>88248</v>
      </c>
      <c r="D62" s="58" t="s">
        <v>473</v>
      </c>
      <c r="E62" s="50" t="s">
        <v>14</v>
      </c>
      <c r="F62" s="51">
        <v>0.17799999999999999</v>
      </c>
      <c r="G62" s="52">
        <v>16.23</v>
      </c>
      <c r="H62" s="54"/>
      <c r="I62" s="42">
        <f>TRUNC((G62*F62),2)</f>
        <v>2.88</v>
      </c>
      <c r="J62" s="716"/>
    </row>
    <row r="63" spans="1:11" ht="25.5">
      <c r="A63" s="377"/>
      <c r="B63" s="50" t="s">
        <v>18</v>
      </c>
      <c r="C63" s="53">
        <v>88267</v>
      </c>
      <c r="D63" s="58" t="s">
        <v>474</v>
      </c>
      <c r="E63" s="50" t="s">
        <v>14</v>
      </c>
      <c r="F63" s="51">
        <v>0.17799999999999999</v>
      </c>
      <c r="G63" s="52">
        <v>20.83</v>
      </c>
      <c r="H63" s="54"/>
      <c r="I63" s="42">
        <f t="shared" ref="I63" si="4">TRUNC((G63*F63),2)</f>
        <v>3.7</v>
      </c>
      <c r="J63" s="717"/>
    </row>
    <row r="64" spans="1:11" ht="25.5">
      <c r="A64" s="377"/>
      <c r="B64" s="50" t="s">
        <v>23</v>
      </c>
      <c r="C64" s="53">
        <v>7698</v>
      </c>
      <c r="D64" s="58" t="s">
        <v>475</v>
      </c>
      <c r="E64" s="50" t="s">
        <v>1</v>
      </c>
      <c r="F64" s="51">
        <v>1.0389999999999999</v>
      </c>
      <c r="G64" s="52">
        <v>28.11</v>
      </c>
      <c r="H64" s="42">
        <f>TRUNC((F64*G64),2)</f>
        <v>29.2</v>
      </c>
      <c r="I64" s="42"/>
      <c r="J64" s="718"/>
    </row>
    <row r="65" spans="1:20">
      <c r="A65" s="377"/>
      <c r="B65" s="48"/>
      <c r="C65" s="352"/>
      <c r="D65" s="353"/>
      <c r="E65" s="352"/>
      <c r="F65" s="354"/>
      <c r="G65" s="355"/>
      <c r="H65" s="356"/>
      <c r="I65" s="145"/>
      <c r="J65" s="49"/>
    </row>
    <row r="66" spans="1:20" ht="38.25">
      <c r="A66" s="397" t="s">
        <v>402</v>
      </c>
      <c r="B66" s="381" t="s">
        <v>471</v>
      </c>
      <c r="C66" s="381">
        <v>91896</v>
      </c>
      <c r="D66" s="382" t="s">
        <v>476</v>
      </c>
      <c r="E66" s="381" t="s">
        <v>16</v>
      </c>
      <c r="F66" s="383" t="s">
        <v>17</v>
      </c>
      <c r="G66" s="384">
        <v>13.15</v>
      </c>
      <c r="H66" s="385">
        <f>TRUNC(SUM(H67:H69),2)</f>
        <v>3.17</v>
      </c>
      <c r="I66" s="385">
        <f>TRUNC(SUM(I67:I69),2)</f>
        <v>9.86</v>
      </c>
      <c r="J66" s="384">
        <f>TRUNC(I66+H66,2)</f>
        <v>13.03</v>
      </c>
      <c r="K66" s="387">
        <v>13.03</v>
      </c>
    </row>
    <row r="67" spans="1:20">
      <c r="A67" s="377"/>
      <c r="B67" s="50" t="s">
        <v>18</v>
      </c>
      <c r="C67" s="53" t="s">
        <v>477</v>
      </c>
      <c r="D67" s="58" t="s">
        <v>21</v>
      </c>
      <c r="E67" s="50" t="s">
        <v>14</v>
      </c>
      <c r="F67" s="51">
        <v>0.26400000000000001</v>
      </c>
      <c r="G67" s="52">
        <v>16.32</v>
      </c>
      <c r="H67" s="54"/>
      <c r="I67" s="42">
        <f>TRUNC((G67*F67),2)</f>
        <v>4.3</v>
      </c>
      <c r="J67" s="716"/>
    </row>
    <row r="68" spans="1:20">
      <c r="A68" s="377"/>
      <c r="B68" s="50" t="s">
        <v>18</v>
      </c>
      <c r="C68" s="53">
        <v>88264</v>
      </c>
      <c r="D68" s="58" t="s">
        <v>22</v>
      </c>
      <c r="E68" s="50" t="s">
        <v>14</v>
      </c>
      <c r="F68" s="51">
        <v>0.26400000000000001</v>
      </c>
      <c r="G68" s="52">
        <v>21.07</v>
      </c>
      <c r="H68" s="54"/>
      <c r="I68" s="42">
        <f>TRUNC((G68*F68),2)</f>
        <v>5.56</v>
      </c>
      <c r="J68" s="717"/>
    </row>
    <row r="69" spans="1:20" ht="25.5">
      <c r="A69" s="377"/>
      <c r="B69" s="50" t="s">
        <v>23</v>
      </c>
      <c r="C69" s="53">
        <v>1874</v>
      </c>
      <c r="D69" s="58" t="s">
        <v>478</v>
      </c>
      <c r="E69" s="50" t="s">
        <v>16</v>
      </c>
      <c r="F69" s="51">
        <v>1</v>
      </c>
      <c r="G69" s="52">
        <v>3.03</v>
      </c>
      <c r="H69" s="42">
        <v>3.17</v>
      </c>
      <c r="I69" s="42"/>
      <c r="J69" s="718"/>
    </row>
    <row r="70" spans="1:20">
      <c r="A70" s="377"/>
      <c r="B70" s="48"/>
      <c r="C70" s="352"/>
      <c r="D70" s="353"/>
      <c r="E70" s="352"/>
      <c r="F70" s="354"/>
      <c r="G70" s="355"/>
      <c r="H70" s="356"/>
      <c r="I70" s="145"/>
      <c r="J70" s="49"/>
    </row>
    <row r="71" spans="1:20" ht="38.25">
      <c r="A71" s="397" t="s">
        <v>405</v>
      </c>
      <c r="B71" s="381" t="s">
        <v>471</v>
      </c>
      <c r="C71" s="381">
        <v>91877</v>
      </c>
      <c r="D71" s="382" t="s">
        <v>479</v>
      </c>
      <c r="E71" s="381" t="s">
        <v>16</v>
      </c>
      <c r="F71" s="383" t="s">
        <v>17</v>
      </c>
      <c r="G71" s="384">
        <v>8.3800000000000008</v>
      </c>
      <c r="H71" s="385">
        <f>TRUNC(SUM(H72:H74),2)</f>
        <v>1.74</v>
      </c>
      <c r="I71" s="385">
        <f>TRUNC(SUM(I72:I74),2)</f>
        <v>6.57</v>
      </c>
      <c r="J71" s="384">
        <f>TRUNC(I71+H71,2)</f>
        <v>8.31</v>
      </c>
      <c r="K71" s="387"/>
    </row>
    <row r="72" spans="1:20">
      <c r="A72" s="377"/>
      <c r="B72" s="50" t="s">
        <v>18</v>
      </c>
      <c r="C72" s="53" t="s">
        <v>477</v>
      </c>
      <c r="D72" s="58" t="s">
        <v>21</v>
      </c>
      <c r="E72" s="50" t="s">
        <v>14</v>
      </c>
      <c r="F72" s="51">
        <v>0.17599999999999999</v>
      </c>
      <c r="G72" s="52">
        <v>16.32</v>
      </c>
      <c r="H72" s="54"/>
      <c r="I72" s="42">
        <f>TRUNC((G72*F72),2)</f>
        <v>2.87</v>
      </c>
      <c r="J72" s="716"/>
    </row>
    <row r="73" spans="1:20">
      <c r="A73" s="389"/>
      <c r="B73" s="50" t="s">
        <v>18</v>
      </c>
      <c r="C73" s="53">
        <v>88264</v>
      </c>
      <c r="D73" s="58" t="s">
        <v>22</v>
      </c>
      <c r="E73" s="50" t="s">
        <v>14</v>
      </c>
      <c r="F73" s="51">
        <v>0.17599999999999999</v>
      </c>
      <c r="G73" s="52">
        <v>21.07</v>
      </c>
      <c r="H73" s="54"/>
      <c r="I73" s="42">
        <f>TRUNC((G73*F73),2)</f>
        <v>3.7</v>
      </c>
      <c r="J73" s="717"/>
    </row>
    <row r="74" spans="1:20" ht="38.25">
      <c r="A74" s="389"/>
      <c r="B74" s="50" t="s">
        <v>23</v>
      </c>
      <c r="C74" s="53">
        <v>1902</v>
      </c>
      <c r="D74" s="58" t="s">
        <v>480</v>
      </c>
      <c r="E74" s="50" t="s">
        <v>16</v>
      </c>
      <c r="F74" s="51">
        <v>1</v>
      </c>
      <c r="G74" s="52">
        <v>1.74</v>
      </c>
      <c r="H74" s="42">
        <f>TRUNC((F74*G74),2)</f>
        <v>1.74</v>
      </c>
      <c r="I74" s="42"/>
      <c r="J74" s="718"/>
      <c r="L74" s="410"/>
      <c r="M74" s="410"/>
      <c r="N74" s="410"/>
      <c r="O74" s="410"/>
      <c r="P74" s="410"/>
      <c r="Q74" s="410"/>
      <c r="R74" s="410"/>
      <c r="S74" s="410"/>
      <c r="T74" s="410"/>
    </row>
    <row r="75" spans="1:20" s="403" customFormat="1">
      <c r="A75" s="389"/>
      <c r="B75" s="36"/>
      <c r="C75" s="36"/>
      <c r="D75" s="378"/>
      <c r="E75" s="36"/>
      <c r="F75" s="379"/>
      <c r="G75" s="380"/>
      <c r="H75" s="380"/>
      <c r="I75" s="380"/>
      <c r="J75" s="380"/>
      <c r="K75" s="367"/>
      <c r="L75" s="413"/>
      <c r="M75" s="413"/>
      <c r="N75" s="413"/>
      <c r="O75" s="413"/>
      <c r="P75" s="413"/>
      <c r="Q75" s="413"/>
      <c r="R75" s="413"/>
      <c r="S75" s="413"/>
      <c r="T75" s="413"/>
    </row>
    <row r="76" spans="1:20">
      <c r="A76" s="390">
        <v>3</v>
      </c>
      <c r="B76" s="414"/>
      <c r="C76" s="415"/>
      <c r="D76" s="416" t="s">
        <v>481</v>
      </c>
      <c r="E76" s="417"/>
      <c r="F76" s="418"/>
      <c r="G76" s="419"/>
      <c r="H76" s="419"/>
      <c r="I76" s="420"/>
      <c r="J76" s="421"/>
      <c r="L76" s="410"/>
      <c r="M76" s="410"/>
      <c r="N76" s="410"/>
      <c r="O76" s="410"/>
      <c r="P76" s="410"/>
      <c r="Q76" s="410"/>
      <c r="R76" s="410"/>
      <c r="S76" s="410"/>
      <c r="T76" s="410"/>
    </row>
    <row r="77" spans="1:20" ht="76.5">
      <c r="A77" s="397" t="s">
        <v>181</v>
      </c>
      <c r="B77" s="381" t="s">
        <v>456</v>
      </c>
      <c r="C77" s="381" t="s">
        <v>482</v>
      </c>
      <c r="D77" s="422" t="s">
        <v>550</v>
      </c>
      <c r="E77" s="381" t="s">
        <v>16</v>
      </c>
      <c r="F77" s="383" t="s">
        <v>17</v>
      </c>
      <c r="G77" s="381"/>
      <c r="H77" s="385">
        <f>SUM(H78:H83)</f>
        <v>1574.2792999999997</v>
      </c>
      <c r="I77" s="385">
        <f>SUM(I79:I83)</f>
        <v>336.73225000000002</v>
      </c>
      <c r="J77" s="404">
        <f>TRUNC((I77+H77),2)</f>
        <v>1911.01</v>
      </c>
      <c r="K77" s="387"/>
      <c r="L77" s="36"/>
      <c r="M77" s="36"/>
      <c r="N77" s="63"/>
      <c r="O77" s="36"/>
      <c r="P77" s="379"/>
      <c r="Q77" s="36"/>
      <c r="R77" s="423"/>
      <c r="S77" s="423"/>
      <c r="T77" s="423"/>
    </row>
    <row r="78" spans="1:20" ht="25.5">
      <c r="A78" s="377"/>
      <c r="B78" s="407" t="s">
        <v>23</v>
      </c>
      <c r="C78" s="407">
        <v>14165</v>
      </c>
      <c r="D78" s="406" t="s">
        <v>549</v>
      </c>
      <c r="E78" s="407" t="s">
        <v>16</v>
      </c>
      <c r="F78" s="408">
        <v>1</v>
      </c>
      <c r="G78" s="409">
        <v>1053.6099999999999</v>
      </c>
      <c r="H78" s="409">
        <f t="shared" ref="H78" si="5">G78*F78</f>
        <v>1053.6099999999999</v>
      </c>
      <c r="I78" s="409"/>
      <c r="J78" s="424"/>
      <c r="L78" s="425"/>
      <c r="M78" s="425"/>
      <c r="N78" s="426"/>
      <c r="O78" s="425"/>
      <c r="P78" s="427"/>
      <c r="Q78" s="428"/>
      <c r="R78" s="428"/>
      <c r="S78" s="428"/>
      <c r="T78" s="428"/>
    </row>
    <row r="79" spans="1:20" ht="51">
      <c r="A79" s="377"/>
      <c r="B79" s="407" t="s">
        <v>18</v>
      </c>
      <c r="C79" s="407">
        <v>91634</v>
      </c>
      <c r="D79" s="406" t="s">
        <v>76</v>
      </c>
      <c r="E79" s="407" t="s">
        <v>19</v>
      </c>
      <c r="F79" s="408">
        <v>1.375</v>
      </c>
      <c r="G79" s="409">
        <v>126.69</v>
      </c>
      <c r="H79" s="409"/>
      <c r="I79" s="409">
        <f>G79*F79</f>
        <v>174.19874999999999</v>
      </c>
      <c r="J79" s="424"/>
      <c r="L79" s="425"/>
      <c r="M79" s="425"/>
      <c r="N79" s="426"/>
      <c r="O79" s="425"/>
      <c r="P79" s="427"/>
      <c r="Q79" s="428"/>
      <c r="R79" s="428"/>
      <c r="S79" s="428"/>
      <c r="T79" s="428"/>
    </row>
    <row r="80" spans="1:20" ht="38.25">
      <c r="A80" s="377"/>
      <c r="B80" s="407" t="s">
        <v>25</v>
      </c>
      <c r="C80" s="407" t="s">
        <v>378</v>
      </c>
      <c r="D80" s="406" t="s">
        <v>483</v>
      </c>
      <c r="E80" s="407" t="s">
        <v>16</v>
      </c>
      <c r="F80" s="408">
        <v>2</v>
      </c>
      <c r="G80" s="409">
        <v>247.43</v>
      </c>
      <c r="H80" s="409">
        <f t="shared" ref="H80" si="6">G80*F80</f>
        <v>494.86</v>
      </c>
      <c r="I80" s="409"/>
      <c r="J80" s="424"/>
      <c r="L80" s="425"/>
      <c r="M80" s="425"/>
      <c r="N80" s="426"/>
      <c r="O80" s="425"/>
      <c r="P80" s="427"/>
      <c r="Q80" s="428"/>
      <c r="R80" s="428"/>
      <c r="S80" s="428"/>
      <c r="T80" s="428"/>
    </row>
    <row r="81" spans="1:20" ht="25.5">
      <c r="A81" s="377"/>
      <c r="B81" s="407" t="s">
        <v>18</v>
      </c>
      <c r="C81" s="407">
        <v>92873</v>
      </c>
      <c r="D81" s="406" t="s">
        <v>484</v>
      </c>
      <c r="E81" s="407" t="s">
        <v>49</v>
      </c>
      <c r="F81" s="408">
        <v>0.09</v>
      </c>
      <c r="G81" s="409">
        <v>167.15</v>
      </c>
      <c r="H81" s="409"/>
      <c r="I81" s="409">
        <f t="shared" ref="I81" si="7">G81*F81</f>
        <v>15.0435</v>
      </c>
      <c r="J81" s="424"/>
      <c r="L81" s="425"/>
      <c r="M81" s="425"/>
      <c r="N81" s="426"/>
      <c r="O81" s="425"/>
      <c r="P81" s="427"/>
      <c r="Q81" s="428"/>
      <c r="R81" s="428"/>
      <c r="S81" s="428"/>
      <c r="T81" s="428"/>
    </row>
    <row r="82" spans="1:20" ht="25.5">
      <c r="A82" s="377"/>
      <c r="B82" s="407" t="s">
        <v>18</v>
      </c>
      <c r="C82" s="407">
        <v>94969</v>
      </c>
      <c r="D82" s="406" t="s">
        <v>485</v>
      </c>
      <c r="E82" s="407" t="s">
        <v>49</v>
      </c>
      <c r="F82" s="408">
        <v>0.09</v>
      </c>
      <c r="G82" s="409">
        <v>286.77</v>
      </c>
      <c r="H82" s="409">
        <f>G82*F82</f>
        <v>25.809299999999997</v>
      </c>
      <c r="I82" s="409"/>
      <c r="J82" s="424"/>
      <c r="L82" s="425"/>
      <c r="M82" s="425"/>
      <c r="N82" s="426"/>
      <c r="O82" s="425"/>
      <c r="P82" s="427"/>
      <c r="Q82" s="428"/>
      <c r="R82" s="428"/>
      <c r="S82" s="428"/>
      <c r="T82" s="428"/>
    </row>
    <row r="83" spans="1:20">
      <c r="A83" s="377"/>
      <c r="B83" s="407" t="s">
        <v>18</v>
      </c>
      <c r="C83" s="407" t="s">
        <v>33</v>
      </c>
      <c r="D83" s="406" t="s">
        <v>22</v>
      </c>
      <c r="E83" s="407" t="s">
        <v>14</v>
      </c>
      <c r="F83" s="408">
        <v>7</v>
      </c>
      <c r="G83" s="409">
        <v>21.07</v>
      </c>
      <c r="H83" s="409"/>
      <c r="I83" s="409">
        <f>G83*F83</f>
        <v>147.49</v>
      </c>
      <c r="J83" s="424"/>
      <c r="L83" s="425"/>
      <c r="M83" s="425"/>
      <c r="N83" s="426"/>
      <c r="O83" s="425"/>
      <c r="P83" s="427"/>
      <c r="Q83" s="428"/>
      <c r="R83" s="428"/>
      <c r="S83" s="428"/>
      <c r="T83" s="428"/>
    </row>
    <row r="84" spans="1:20">
      <c r="A84" s="377"/>
      <c r="B84" s="425"/>
      <c r="C84" s="425"/>
      <c r="D84" s="429" t="s">
        <v>486</v>
      </c>
      <c r="E84" s="425"/>
      <c r="F84" s="427"/>
      <c r="G84" s="428"/>
      <c r="H84" s="428"/>
      <c r="I84" s="428"/>
      <c r="J84" s="430"/>
      <c r="L84" s="425"/>
      <c r="M84" s="425"/>
      <c r="N84" s="426"/>
      <c r="O84" s="425"/>
      <c r="P84" s="427"/>
      <c r="Q84" s="428"/>
      <c r="R84" s="428"/>
      <c r="S84" s="428"/>
      <c r="T84" s="428"/>
    </row>
    <row r="85" spans="1:20">
      <c r="A85" s="377"/>
      <c r="B85" s="410"/>
      <c r="C85" s="410"/>
      <c r="D85" s="411"/>
      <c r="E85" s="410"/>
      <c r="F85" s="410"/>
      <c r="G85" s="410"/>
      <c r="H85" s="410"/>
      <c r="I85" s="410"/>
      <c r="J85" s="412"/>
      <c r="L85" s="410"/>
      <c r="M85" s="410"/>
      <c r="N85" s="410"/>
      <c r="O85" s="410"/>
      <c r="P85" s="410"/>
      <c r="Q85" s="410"/>
      <c r="R85" s="410"/>
      <c r="S85" s="410"/>
      <c r="T85" s="410"/>
    </row>
    <row r="86" spans="1:20" ht="63.75">
      <c r="A86" s="397" t="s">
        <v>407</v>
      </c>
      <c r="B86" s="381" t="s">
        <v>456</v>
      </c>
      <c r="C86" s="381" t="s">
        <v>487</v>
      </c>
      <c r="D86" s="382" t="s">
        <v>488</v>
      </c>
      <c r="E86" s="381" t="s">
        <v>16</v>
      </c>
      <c r="F86" s="383" t="s">
        <v>17</v>
      </c>
      <c r="G86" s="381"/>
      <c r="H86" s="385">
        <f>TRUNC(SUM(H87:H89),2)</f>
        <v>1069.57</v>
      </c>
      <c r="I86" s="385">
        <f>TRUNC(SUM(I87:I89),2)</f>
        <v>37.520000000000003</v>
      </c>
      <c r="J86" s="404">
        <f>TRUNC((I86+H86),2)</f>
        <v>1107.0899999999999</v>
      </c>
      <c r="K86" s="387"/>
    </row>
    <row r="87" spans="1:20" ht="51">
      <c r="A87" s="377"/>
      <c r="B87" s="407" t="s">
        <v>25</v>
      </c>
      <c r="C87" s="407" t="s">
        <v>262</v>
      </c>
      <c r="D87" s="406" t="s">
        <v>489</v>
      </c>
      <c r="E87" s="407" t="s">
        <v>16</v>
      </c>
      <c r="F87" s="408">
        <v>1</v>
      </c>
      <c r="G87" s="409">
        <v>1069.57</v>
      </c>
      <c r="H87" s="42">
        <f>TRUNC((F87*G87),2)</f>
        <v>1069.57</v>
      </c>
      <c r="I87" s="409"/>
      <c r="J87" s="711"/>
    </row>
    <row r="88" spans="1:20">
      <c r="A88" s="377"/>
      <c r="B88" s="407" t="s">
        <v>18</v>
      </c>
      <c r="C88" s="407" t="s">
        <v>33</v>
      </c>
      <c r="D88" s="406" t="s">
        <v>22</v>
      </c>
      <c r="E88" s="407" t="s">
        <v>14</v>
      </c>
      <c r="F88" s="408">
        <v>1</v>
      </c>
      <c r="G88" s="409">
        <v>21.07</v>
      </c>
      <c r="H88" s="409"/>
      <c r="I88" s="42">
        <f>TRUNC((G88*F88),2)</f>
        <v>21.07</v>
      </c>
      <c r="J88" s="712"/>
    </row>
    <row r="89" spans="1:20">
      <c r="A89" s="377"/>
      <c r="B89" s="407" t="s">
        <v>18</v>
      </c>
      <c r="C89" s="407" t="s">
        <v>35</v>
      </c>
      <c r="D89" s="406" t="s">
        <v>20</v>
      </c>
      <c r="E89" s="407" t="s">
        <v>14</v>
      </c>
      <c r="F89" s="408">
        <v>1</v>
      </c>
      <c r="G89" s="409">
        <v>16.45</v>
      </c>
      <c r="H89" s="409"/>
      <c r="I89" s="42">
        <f>TRUNC((G89*F89),2)</f>
        <v>16.45</v>
      </c>
      <c r="J89" s="713"/>
    </row>
    <row r="90" spans="1:20">
      <c r="A90" s="377"/>
      <c r="B90" s="410"/>
      <c r="C90" s="410"/>
      <c r="D90" s="429" t="s">
        <v>490</v>
      </c>
      <c r="E90" s="410"/>
      <c r="F90" s="410"/>
      <c r="G90" s="410"/>
      <c r="H90" s="410"/>
      <c r="I90" s="410"/>
      <c r="J90" s="412"/>
    </row>
    <row r="91" spans="1:20">
      <c r="A91" s="377"/>
      <c r="B91" s="410"/>
      <c r="C91" s="410"/>
      <c r="D91" s="411"/>
      <c r="E91" s="410"/>
      <c r="F91" s="410"/>
      <c r="G91" s="410"/>
      <c r="H91" s="410"/>
      <c r="I91" s="410"/>
      <c r="J91" s="412"/>
      <c r="K91" s="403"/>
    </row>
    <row r="92" spans="1:20" ht="24.75" customHeight="1">
      <c r="A92" s="397" t="s">
        <v>408</v>
      </c>
      <c r="B92" s="381" t="s">
        <v>491</v>
      </c>
      <c r="C92" s="381" t="s">
        <v>492</v>
      </c>
      <c r="D92" s="382" t="s">
        <v>493</v>
      </c>
      <c r="E92" s="381" t="s">
        <v>1</v>
      </c>
      <c r="F92" s="383" t="s">
        <v>17</v>
      </c>
      <c r="G92" s="381"/>
      <c r="H92" s="385">
        <f>TRUNC(SUM(H93:H96),2)</f>
        <v>1.57</v>
      </c>
      <c r="I92" s="385">
        <f>TRUNC(SUM(I93:I96),2)</f>
        <v>1.1100000000000001</v>
      </c>
      <c r="J92" s="404">
        <f>TRUNC((I92+H92),2)</f>
        <v>2.68</v>
      </c>
      <c r="K92" s="387">
        <v>2.68</v>
      </c>
    </row>
    <row r="93" spans="1:20" ht="25.5">
      <c r="A93" s="377"/>
      <c r="B93" s="405" t="s">
        <v>23</v>
      </c>
      <c r="C93" s="405" t="s">
        <v>494</v>
      </c>
      <c r="D93" s="406" t="s">
        <v>495</v>
      </c>
      <c r="E93" s="407" t="s">
        <v>1</v>
      </c>
      <c r="F93" s="408">
        <v>1.19</v>
      </c>
      <c r="G93" s="409">
        <v>1.3</v>
      </c>
      <c r="H93" s="42">
        <f>TRUNC((F93*G93),2)</f>
        <v>1.54</v>
      </c>
      <c r="I93" s="409"/>
      <c r="J93" s="711"/>
    </row>
    <row r="94" spans="1:20" ht="12.75" customHeight="1">
      <c r="A94" s="377"/>
      <c r="B94" s="405" t="s">
        <v>23</v>
      </c>
      <c r="C94" s="405">
        <v>21127</v>
      </c>
      <c r="D94" s="406" t="s">
        <v>37</v>
      </c>
      <c r="E94" s="407" t="s">
        <v>16</v>
      </c>
      <c r="F94" s="408">
        <v>8.9999999999999993E-3</v>
      </c>
      <c r="G94" s="409">
        <v>3.78</v>
      </c>
      <c r="H94" s="42">
        <f>TRUNC((F94*G94),2)</f>
        <v>0.03</v>
      </c>
      <c r="I94" s="409"/>
      <c r="J94" s="712"/>
    </row>
    <row r="95" spans="1:20">
      <c r="A95" s="377"/>
      <c r="B95" s="405" t="s">
        <v>18</v>
      </c>
      <c r="C95" s="405" t="s">
        <v>34</v>
      </c>
      <c r="D95" s="406" t="s">
        <v>21</v>
      </c>
      <c r="E95" s="407" t="s">
        <v>14</v>
      </c>
      <c r="F95" s="408">
        <v>0.03</v>
      </c>
      <c r="G95" s="409">
        <v>16.32</v>
      </c>
      <c r="H95" s="409"/>
      <c r="I95" s="42">
        <f>TRUNC((G95*F95),2)</f>
        <v>0.48</v>
      </c>
      <c r="J95" s="712"/>
      <c r="K95" s="403"/>
      <c r="L95" s="403"/>
    </row>
    <row r="96" spans="1:20">
      <c r="A96" s="377"/>
      <c r="B96" s="405" t="s">
        <v>18</v>
      </c>
      <c r="C96" s="405" t="s">
        <v>33</v>
      </c>
      <c r="D96" s="406" t="s">
        <v>22</v>
      </c>
      <c r="E96" s="407" t="s">
        <v>14</v>
      </c>
      <c r="F96" s="408">
        <v>0.03</v>
      </c>
      <c r="G96" s="409">
        <v>21.07</v>
      </c>
      <c r="H96" s="409"/>
      <c r="I96" s="42">
        <f>TRUNC((G96*F96),2)</f>
        <v>0.63</v>
      </c>
      <c r="J96" s="713"/>
      <c r="K96" s="403"/>
      <c r="L96" s="403"/>
    </row>
    <row r="97" spans="1:12">
      <c r="A97" s="377"/>
      <c r="B97" s="55"/>
      <c r="C97" s="55"/>
      <c r="D97" s="65"/>
      <c r="E97" s="48"/>
      <c r="F97" s="56"/>
      <c r="G97" s="35"/>
      <c r="H97" s="145"/>
      <c r="I97" s="145"/>
      <c r="J97" s="412"/>
      <c r="K97" s="403"/>
      <c r="L97" s="403"/>
    </row>
    <row r="98" spans="1:12" ht="38.25">
      <c r="A98" s="397" t="s">
        <v>409</v>
      </c>
      <c r="B98" s="381" t="s">
        <v>496</v>
      </c>
      <c r="C98" s="381" t="s">
        <v>497</v>
      </c>
      <c r="D98" s="382" t="s">
        <v>498</v>
      </c>
      <c r="E98" s="381" t="s">
        <v>1</v>
      </c>
      <c r="F98" s="383" t="s">
        <v>17</v>
      </c>
      <c r="G98" s="381"/>
      <c r="H98" s="385">
        <f>TRUNC(SUM(H99:H102),2)</f>
        <v>3.33</v>
      </c>
      <c r="I98" s="385">
        <f>TRUNC(SUM(I99:I102),2)</f>
        <v>1.49</v>
      </c>
      <c r="J98" s="404">
        <f>TRUNC((I98+H98),2)</f>
        <v>4.82</v>
      </c>
      <c r="K98" s="387"/>
      <c r="L98" s="403"/>
    </row>
    <row r="99" spans="1:12" ht="38.25">
      <c r="A99" s="377"/>
      <c r="B99" s="405" t="s">
        <v>23</v>
      </c>
      <c r="C99" s="405" t="s">
        <v>499</v>
      </c>
      <c r="D99" s="406" t="s">
        <v>500</v>
      </c>
      <c r="E99" s="407" t="s">
        <v>1</v>
      </c>
      <c r="F99" s="408">
        <v>1.19</v>
      </c>
      <c r="G99" s="409">
        <v>2.78</v>
      </c>
      <c r="H99" s="42">
        <f>TRUNC((F99*G99),2)</f>
        <v>3.3</v>
      </c>
      <c r="I99" s="409"/>
      <c r="J99" s="711"/>
    </row>
    <row r="100" spans="1:12" ht="25.5">
      <c r="A100" s="377"/>
      <c r="B100" s="405" t="s">
        <v>23</v>
      </c>
      <c r="C100" s="405">
        <v>21127</v>
      </c>
      <c r="D100" s="406" t="s">
        <v>37</v>
      </c>
      <c r="E100" s="407" t="s">
        <v>16</v>
      </c>
      <c r="F100" s="408">
        <v>8.9999999999999993E-3</v>
      </c>
      <c r="G100" s="409">
        <v>3.78</v>
      </c>
      <c r="H100" s="42">
        <f t="shared" ref="H100" si="8">TRUNC((F100*G100),2)</f>
        <v>0.03</v>
      </c>
      <c r="I100" s="409"/>
      <c r="J100" s="712"/>
    </row>
    <row r="101" spans="1:12">
      <c r="A101" s="377"/>
      <c r="B101" s="405" t="s">
        <v>18</v>
      </c>
      <c r="C101" s="405" t="s">
        <v>34</v>
      </c>
      <c r="D101" s="406" t="s">
        <v>21</v>
      </c>
      <c r="E101" s="407" t="s">
        <v>14</v>
      </c>
      <c r="F101" s="408">
        <v>0.04</v>
      </c>
      <c r="G101" s="409">
        <v>16.32</v>
      </c>
      <c r="H101" s="42"/>
      <c r="I101" s="42">
        <f t="shared" ref="I101:I102" si="9">TRUNC((G101*F101),2)</f>
        <v>0.65</v>
      </c>
      <c r="J101" s="712"/>
    </row>
    <row r="102" spans="1:12">
      <c r="A102" s="377"/>
      <c r="B102" s="405" t="s">
        <v>18</v>
      </c>
      <c r="C102" s="405" t="s">
        <v>33</v>
      </c>
      <c r="D102" s="406" t="s">
        <v>22</v>
      </c>
      <c r="E102" s="407" t="s">
        <v>14</v>
      </c>
      <c r="F102" s="408">
        <v>0.04</v>
      </c>
      <c r="G102" s="409">
        <v>21.07</v>
      </c>
      <c r="H102" s="42"/>
      <c r="I102" s="42">
        <f t="shared" si="9"/>
        <v>0.84</v>
      </c>
      <c r="J102" s="713"/>
    </row>
    <row r="103" spans="1:12">
      <c r="A103" s="377"/>
      <c r="B103" s="410"/>
      <c r="C103" s="410"/>
      <c r="D103" s="411"/>
      <c r="E103" s="410"/>
      <c r="F103" s="410"/>
      <c r="G103" s="410"/>
      <c r="H103" s="410"/>
      <c r="I103" s="410"/>
      <c r="J103" s="412"/>
    </row>
    <row r="104" spans="1:12" ht="38.25">
      <c r="A104" s="397" t="s">
        <v>410</v>
      </c>
      <c r="B104" s="381" t="s">
        <v>501</v>
      </c>
      <c r="C104" s="381" t="s">
        <v>502</v>
      </c>
      <c r="D104" s="382" t="s">
        <v>503</v>
      </c>
      <c r="E104" s="381" t="s">
        <v>1</v>
      </c>
      <c r="F104" s="383" t="s">
        <v>17</v>
      </c>
      <c r="G104" s="381">
        <v>6.48</v>
      </c>
      <c r="H104" s="385">
        <f>TRUNC(SUM(H105:H108),2)</f>
        <v>4.55</v>
      </c>
      <c r="I104" s="385">
        <f>TRUNC(SUM(I105:I108),2)</f>
        <v>1.93</v>
      </c>
      <c r="J104" s="404">
        <f>TRUNC((I104+H104),2)</f>
        <v>6.48</v>
      </c>
      <c r="K104" s="387"/>
    </row>
    <row r="105" spans="1:12" ht="38.25">
      <c r="A105" s="377"/>
      <c r="B105" s="405" t="s">
        <v>23</v>
      </c>
      <c r="C105" s="405" t="s">
        <v>504</v>
      </c>
      <c r="D105" s="406" t="s">
        <v>505</v>
      </c>
      <c r="E105" s="407" t="s">
        <v>1</v>
      </c>
      <c r="F105" s="408">
        <v>1.19</v>
      </c>
      <c r="G105" s="409">
        <v>3.8</v>
      </c>
      <c r="H105" s="42">
        <f t="shared" ref="H105:H106" si="10">TRUNC((F105*G105),2)</f>
        <v>4.5199999999999996</v>
      </c>
      <c r="I105" s="409"/>
      <c r="J105" s="711"/>
    </row>
    <row r="106" spans="1:12" ht="25.5">
      <c r="A106" s="377"/>
      <c r="B106" s="405" t="s">
        <v>23</v>
      </c>
      <c r="C106" s="405" t="s">
        <v>506</v>
      </c>
      <c r="D106" s="406" t="s">
        <v>37</v>
      </c>
      <c r="E106" s="407" t="s">
        <v>16</v>
      </c>
      <c r="F106" s="408">
        <v>8.9999999999999993E-3</v>
      </c>
      <c r="G106" s="409">
        <v>3.78</v>
      </c>
      <c r="H106" s="42">
        <f t="shared" si="10"/>
        <v>0.03</v>
      </c>
      <c r="I106" s="409"/>
      <c r="J106" s="712"/>
    </row>
    <row r="107" spans="1:12">
      <c r="A107" s="377"/>
      <c r="B107" s="405" t="s">
        <v>18</v>
      </c>
      <c r="C107" s="405" t="s">
        <v>34</v>
      </c>
      <c r="D107" s="406" t="s">
        <v>21</v>
      </c>
      <c r="E107" s="407" t="s">
        <v>14</v>
      </c>
      <c r="F107" s="408">
        <v>5.1999999999999998E-2</v>
      </c>
      <c r="G107" s="409">
        <v>16.32</v>
      </c>
      <c r="H107" s="409"/>
      <c r="I107" s="42">
        <f t="shared" ref="I107:I108" si="11">TRUNC((G107*F107),2)</f>
        <v>0.84</v>
      </c>
      <c r="J107" s="712"/>
    </row>
    <row r="108" spans="1:12">
      <c r="A108" s="377"/>
      <c r="B108" s="405" t="s">
        <v>18</v>
      </c>
      <c r="C108" s="405" t="s">
        <v>33</v>
      </c>
      <c r="D108" s="406" t="s">
        <v>22</v>
      </c>
      <c r="E108" s="407" t="s">
        <v>14</v>
      </c>
      <c r="F108" s="408">
        <v>5.1999999999999998E-2</v>
      </c>
      <c r="G108" s="409">
        <v>21.07</v>
      </c>
      <c r="H108" s="409"/>
      <c r="I108" s="42">
        <f t="shared" si="11"/>
        <v>1.0900000000000001</v>
      </c>
      <c r="J108" s="713"/>
    </row>
    <row r="109" spans="1:12">
      <c r="A109" s="377"/>
      <c r="B109" s="431"/>
      <c r="C109" s="431"/>
      <c r="D109" s="426"/>
      <c r="E109" s="425"/>
      <c r="F109" s="427"/>
      <c r="G109" s="428"/>
      <c r="H109" s="428"/>
      <c r="I109" s="428"/>
      <c r="J109" s="430"/>
    </row>
    <row r="110" spans="1:12" ht="25.5">
      <c r="A110" s="397" t="s">
        <v>411</v>
      </c>
      <c r="B110" s="381" t="s">
        <v>456</v>
      </c>
      <c r="C110" s="381" t="s">
        <v>507</v>
      </c>
      <c r="D110" s="382" t="s">
        <v>508</v>
      </c>
      <c r="E110" s="381" t="s">
        <v>16</v>
      </c>
      <c r="F110" s="383" t="s">
        <v>17</v>
      </c>
      <c r="G110" s="381"/>
      <c r="H110" s="385">
        <f>SUM(H111:H122)</f>
        <v>760.68</v>
      </c>
      <c r="I110" s="385">
        <f>SUM(I111:I122)</f>
        <v>1.94428</v>
      </c>
      <c r="J110" s="404">
        <f>TRUNC((I110+H110),2)</f>
        <v>762.62</v>
      </c>
      <c r="K110" s="387"/>
    </row>
    <row r="111" spans="1:12" ht="38.25">
      <c r="A111" s="377"/>
      <c r="B111" s="405" t="s">
        <v>509</v>
      </c>
      <c r="C111" s="405">
        <v>11255</v>
      </c>
      <c r="D111" s="406" t="s">
        <v>510</v>
      </c>
      <c r="E111" s="407" t="s">
        <v>16</v>
      </c>
      <c r="F111" s="408">
        <v>1</v>
      </c>
      <c r="G111" s="409">
        <v>255.89</v>
      </c>
      <c r="H111" s="409">
        <f t="shared" ref="H111:H120" si="12">G111*F111</f>
        <v>255.89</v>
      </c>
      <c r="I111" s="409"/>
      <c r="J111" s="711"/>
    </row>
    <row r="112" spans="1:12" ht="25.5">
      <c r="A112" s="377"/>
      <c r="B112" s="405" t="s">
        <v>23</v>
      </c>
      <c r="C112" s="405">
        <v>1623</v>
      </c>
      <c r="D112" s="406" t="s">
        <v>511</v>
      </c>
      <c r="E112" s="407" t="s">
        <v>16</v>
      </c>
      <c r="F112" s="408">
        <v>1</v>
      </c>
      <c r="G112" s="409">
        <v>85.63</v>
      </c>
      <c r="H112" s="409">
        <f t="shared" si="12"/>
        <v>85.63</v>
      </c>
      <c r="I112" s="409"/>
      <c r="J112" s="712"/>
    </row>
    <row r="113" spans="1:11">
      <c r="A113" s="377"/>
      <c r="B113" s="405" t="s">
        <v>23</v>
      </c>
      <c r="C113" s="405">
        <v>34616</v>
      </c>
      <c r="D113" s="406" t="s">
        <v>512</v>
      </c>
      <c r="E113" s="407" t="s">
        <v>16</v>
      </c>
      <c r="F113" s="408">
        <v>1</v>
      </c>
      <c r="G113" s="409">
        <v>39.03</v>
      </c>
      <c r="H113" s="409">
        <f t="shared" si="12"/>
        <v>39.03</v>
      </c>
      <c r="I113" s="409"/>
      <c r="J113" s="712"/>
    </row>
    <row r="114" spans="1:11">
      <c r="A114" s="377"/>
      <c r="B114" s="405" t="s">
        <v>23</v>
      </c>
      <c r="C114" s="405">
        <v>34623</v>
      </c>
      <c r="D114" s="406" t="s">
        <v>513</v>
      </c>
      <c r="E114" s="407" t="s">
        <v>16</v>
      </c>
      <c r="F114" s="408">
        <v>1</v>
      </c>
      <c r="G114" s="409">
        <v>38.43</v>
      </c>
      <c r="H114" s="409">
        <f t="shared" si="12"/>
        <v>38.43</v>
      </c>
      <c r="I114" s="409"/>
      <c r="J114" s="712"/>
    </row>
    <row r="115" spans="1:11" ht="25.5">
      <c r="A115" s="377"/>
      <c r="B115" s="405" t="s">
        <v>23</v>
      </c>
      <c r="C115" s="405">
        <v>2510</v>
      </c>
      <c r="D115" s="406" t="s">
        <v>514</v>
      </c>
      <c r="E115" s="407" t="s">
        <v>16</v>
      </c>
      <c r="F115" s="408">
        <v>1</v>
      </c>
      <c r="G115" s="409">
        <v>16.66</v>
      </c>
      <c r="H115" s="409">
        <f t="shared" si="12"/>
        <v>16.66</v>
      </c>
      <c r="I115" s="409"/>
      <c r="J115" s="712"/>
    </row>
    <row r="116" spans="1:11">
      <c r="A116" s="377"/>
      <c r="B116" s="405" t="s">
        <v>23</v>
      </c>
      <c r="C116" s="405">
        <v>39380</v>
      </c>
      <c r="D116" s="406" t="s">
        <v>515</v>
      </c>
      <c r="E116" s="407" t="s">
        <v>16</v>
      </c>
      <c r="F116" s="408">
        <v>1</v>
      </c>
      <c r="G116" s="409">
        <v>9.5299999999999994</v>
      </c>
      <c r="H116" s="409">
        <f t="shared" si="12"/>
        <v>9.5299999999999994</v>
      </c>
      <c r="I116" s="409"/>
      <c r="J116" s="712"/>
    </row>
    <row r="117" spans="1:11" ht="25.5">
      <c r="A117" s="377"/>
      <c r="B117" s="405" t="s">
        <v>23</v>
      </c>
      <c r="C117" s="405">
        <v>13374</v>
      </c>
      <c r="D117" s="406" t="s">
        <v>516</v>
      </c>
      <c r="E117" s="407" t="s">
        <v>16</v>
      </c>
      <c r="F117" s="408">
        <v>3</v>
      </c>
      <c r="G117" s="409">
        <v>85.81</v>
      </c>
      <c r="H117" s="409">
        <f t="shared" si="12"/>
        <v>257.43</v>
      </c>
      <c r="I117" s="409"/>
      <c r="J117" s="712"/>
    </row>
    <row r="118" spans="1:11" ht="25.5">
      <c r="A118" s="377"/>
      <c r="B118" s="405" t="s">
        <v>23</v>
      </c>
      <c r="C118" s="405">
        <v>3295</v>
      </c>
      <c r="D118" s="406" t="s">
        <v>517</v>
      </c>
      <c r="E118" s="407" t="s">
        <v>16</v>
      </c>
      <c r="F118" s="408">
        <v>3</v>
      </c>
      <c r="G118" s="409">
        <v>8.94</v>
      </c>
      <c r="H118" s="409">
        <f t="shared" si="12"/>
        <v>26.82</v>
      </c>
      <c r="I118" s="409"/>
      <c r="J118" s="712"/>
    </row>
    <row r="119" spans="1:11">
      <c r="A119" s="377"/>
      <c r="B119" s="405" t="s">
        <v>23</v>
      </c>
      <c r="C119" s="405">
        <v>1814</v>
      </c>
      <c r="D119" s="406" t="s">
        <v>518</v>
      </c>
      <c r="E119" s="407" t="s">
        <v>16</v>
      </c>
      <c r="F119" s="408">
        <v>1</v>
      </c>
      <c r="G119" s="409">
        <v>27.3</v>
      </c>
      <c r="H119" s="409">
        <f t="shared" si="12"/>
        <v>27.3</v>
      </c>
      <c r="I119" s="409"/>
      <c r="J119" s="712"/>
    </row>
    <row r="120" spans="1:11" ht="25.5">
      <c r="A120" s="377"/>
      <c r="B120" s="405" t="s">
        <v>23</v>
      </c>
      <c r="C120" s="405">
        <v>1574</v>
      </c>
      <c r="D120" s="406" t="s">
        <v>519</v>
      </c>
      <c r="E120" s="407" t="s">
        <v>16</v>
      </c>
      <c r="F120" s="408">
        <v>4</v>
      </c>
      <c r="G120" s="409">
        <v>0.99</v>
      </c>
      <c r="H120" s="409">
        <f t="shared" si="12"/>
        <v>3.96</v>
      </c>
      <c r="I120" s="409"/>
      <c r="J120" s="712"/>
    </row>
    <row r="121" spans="1:11">
      <c r="A121" s="377"/>
      <c r="B121" s="405" t="s">
        <v>18</v>
      </c>
      <c r="C121" s="405" t="s">
        <v>34</v>
      </c>
      <c r="D121" s="406" t="s">
        <v>21</v>
      </c>
      <c r="E121" s="407" t="s">
        <v>14</v>
      </c>
      <c r="F121" s="408">
        <v>5.1999999999999998E-2</v>
      </c>
      <c r="G121" s="409">
        <v>16.32</v>
      </c>
      <c r="H121" s="409"/>
      <c r="I121" s="409">
        <f>G121*F121</f>
        <v>0.84863999999999995</v>
      </c>
      <c r="J121" s="712"/>
    </row>
    <row r="122" spans="1:11">
      <c r="A122" s="377"/>
      <c r="B122" s="405" t="s">
        <v>18</v>
      </c>
      <c r="C122" s="405" t="s">
        <v>33</v>
      </c>
      <c r="D122" s="406" t="s">
        <v>22</v>
      </c>
      <c r="E122" s="407" t="s">
        <v>14</v>
      </c>
      <c r="F122" s="408">
        <v>5.1999999999999998E-2</v>
      </c>
      <c r="G122" s="409">
        <v>21.07</v>
      </c>
      <c r="H122" s="409"/>
      <c r="I122" s="409">
        <f>G122*F122</f>
        <v>1.0956399999999999</v>
      </c>
      <c r="J122" s="713"/>
    </row>
    <row r="123" spans="1:11">
      <c r="A123" s="377"/>
      <c r="B123" s="410"/>
      <c r="C123" s="410"/>
      <c r="D123" s="429" t="s">
        <v>520</v>
      </c>
      <c r="E123" s="410"/>
      <c r="F123" s="410"/>
      <c r="G123" s="410"/>
      <c r="H123" s="410"/>
      <c r="I123" s="410"/>
      <c r="J123" s="410"/>
      <c r="K123" s="410"/>
    </row>
    <row r="124" spans="1:11" ht="25.5">
      <c r="A124" s="397" t="s">
        <v>412</v>
      </c>
      <c r="B124" s="381" t="s">
        <v>24</v>
      </c>
      <c r="C124" s="381" t="s">
        <v>521</v>
      </c>
      <c r="D124" s="382" t="s">
        <v>522</v>
      </c>
      <c r="E124" s="381" t="s">
        <v>16</v>
      </c>
      <c r="F124" s="383" t="s">
        <v>17</v>
      </c>
      <c r="G124" s="381">
        <v>41.5</v>
      </c>
      <c r="H124" s="385">
        <f>TRUNC(SUM(H125:H127),2)</f>
        <v>5.33</v>
      </c>
      <c r="I124" s="385">
        <f>TRUNC(SUM(I125:I127),2)</f>
        <v>36.17</v>
      </c>
      <c r="J124" s="404">
        <f>TRUNC((I124+H124),2)</f>
        <v>41.5</v>
      </c>
      <c r="K124" s="387"/>
    </row>
    <row r="125" spans="1:11" ht="42.75" customHeight="1">
      <c r="A125" s="377"/>
      <c r="B125" s="50" t="s">
        <v>23</v>
      </c>
      <c r="C125" s="50" t="s">
        <v>523</v>
      </c>
      <c r="D125" s="58" t="s">
        <v>524</v>
      </c>
      <c r="E125" s="50" t="s">
        <v>16</v>
      </c>
      <c r="F125" s="51">
        <v>1</v>
      </c>
      <c r="G125" s="52">
        <v>32.04</v>
      </c>
      <c r="H125" s="42">
        <v>0</v>
      </c>
      <c r="I125" s="43">
        <f>TRUNC((G125*F125),2)</f>
        <v>32.04</v>
      </c>
      <c r="J125" s="716"/>
    </row>
    <row r="126" spans="1:11">
      <c r="A126" s="377"/>
      <c r="B126" s="50" t="s">
        <v>18</v>
      </c>
      <c r="C126" s="50" t="s">
        <v>34</v>
      </c>
      <c r="D126" s="58" t="s">
        <v>21</v>
      </c>
      <c r="E126" s="50" t="s">
        <v>14</v>
      </c>
      <c r="F126" s="51">
        <v>0.25309999999999999</v>
      </c>
      <c r="G126" s="52">
        <v>16.32</v>
      </c>
      <c r="H126" s="42">
        <v>0</v>
      </c>
      <c r="I126" s="43">
        <f>TRUNC((G126*F126),2)</f>
        <v>4.13</v>
      </c>
      <c r="J126" s="717"/>
    </row>
    <row r="127" spans="1:11">
      <c r="A127" s="377"/>
      <c r="B127" s="50" t="s">
        <v>18</v>
      </c>
      <c r="C127" s="50" t="s">
        <v>33</v>
      </c>
      <c r="D127" s="58" t="s">
        <v>22</v>
      </c>
      <c r="E127" s="50" t="s">
        <v>14</v>
      </c>
      <c r="F127" s="51">
        <v>0.25309999999999999</v>
      </c>
      <c r="G127" s="52">
        <v>21.07</v>
      </c>
      <c r="H127" s="42">
        <f>TRUNC((G127*F127),2)</f>
        <v>5.33</v>
      </c>
      <c r="I127" s="43">
        <v>0</v>
      </c>
      <c r="J127" s="718"/>
    </row>
    <row r="128" spans="1:11">
      <c r="D128" s="432"/>
      <c r="E128" s="432"/>
      <c r="F128" s="433"/>
      <c r="G128" s="432"/>
      <c r="H128" s="432"/>
      <c r="I128" s="432"/>
      <c r="J128" s="432"/>
    </row>
    <row r="129" spans="1:11" ht="25.5">
      <c r="A129" s="397" t="s">
        <v>413</v>
      </c>
      <c r="B129" s="381" t="s">
        <v>24</v>
      </c>
      <c r="C129" s="381" t="s">
        <v>525</v>
      </c>
      <c r="D129" s="382" t="s">
        <v>526</v>
      </c>
      <c r="E129" s="381" t="s">
        <v>200</v>
      </c>
      <c r="F129" s="383"/>
      <c r="G129" s="381"/>
      <c r="H129" s="385">
        <f>TRUNC(SUM(H130:H132),2)</f>
        <v>3.91</v>
      </c>
      <c r="I129" s="385">
        <f>TRUNC(SUM(I130:I132),2)</f>
        <v>7.47</v>
      </c>
      <c r="J129" s="404">
        <f>TRUNC((I129+H129),2)</f>
        <v>11.38</v>
      </c>
      <c r="K129" s="387"/>
    </row>
    <row r="130" spans="1:11">
      <c r="B130" s="50" t="s">
        <v>18</v>
      </c>
      <c r="C130" s="50" t="s">
        <v>34</v>
      </c>
      <c r="D130" s="58" t="s">
        <v>21</v>
      </c>
      <c r="E130" s="50" t="s">
        <v>14</v>
      </c>
      <c r="F130" s="51">
        <v>0.2</v>
      </c>
      <c r="G130" s="52">
        <v>16.32</v>
      </c>
      <c r="H130" s="42">
        <v>0</v>
      </c>
      <c r="I130" s="43">
        <f>TRUNC((G130*F130),2)</f>
        <v>3.26</v>
      </c>
      <c r="J130" s="719"/>
    </row>
    <row r="131" spans="1:11">
      <c r="B131" s="50" t="s">
        <v>18</v>
      </c>
      <c r="C131" s="50" t="s">
        <v>33</v>
      </c>
      <c r="D131" s="58" t="s">
        <v>22</v>
      </c>
      <c r="E131" s="50" t="s">
        <v>14</v>
      </c>
      <c r="F131" s="51">
        <v>0.2</v>
      </c>
      <c r="G131" s="52">
        <v>21.07</v>
      </c>
      <c r="H131" s="42">
        <v>0</v>
      </c>
      <c r="I131" s="43">
        <f>TRUNC((G131*F131),2)</f>
        <v>4.21</v>
      </c>
      <c r="J131" s="720"/>
    </row>
    <row r="132" spans="1:11" ht="25.5">
      <c r="B132" s="50" t="s">
        <v>23</v>
      </c>
      <c r="C132" s="50">
        <v>11856</v>
      </c>
      <c r="D132" s="58" t="s">
        <v>527</v>
      </c>
      <c r="E132" s="50" t="s">
        <v>16</v>
      </c>
      <c r="F132" s="51">
        <v>1</v>
      </c>
      <c r="G132" s="52">
        <v>3.91</v>
      </c>
      <c r="H132" s="42">
        <f>TRUNC((G132*F132),2)</f>
        <v>3.91</v>
      </c>
      <c r="I132" s="43">
        <v>0</v>
      </c>
      <c r="J132" s="721"/>
    </row>
    <row r="133" spans="1:11">
      <c r="D133" s="429" t="s">
        <v>528</v>
      </c>
    </row>
    <row r="135" spans="1:11" ht="25.5">
      <c r="A135" s="397" t="s">
        <v>414</v>
      </c>
      <c r="B135" s="381" t="s">
        <v>24</v>
      </c>
      <c r="C135" s="381" t="s">
        <v>529</v>
      </c>
      <c r="D135" s="382" t="s">
        <v>530</v>
      </c>
      <c r="E135" s="381" t="s">
        <v>200</v>
      </c>
      <c r="F135" s="383"/>
      <c r="G135" s="381"/>
      <c r="H135" s="385">
        <f>TRUNC(SUM(H136:H138),2)</f>
        <v>3.04</v>
      </c>
      <c r="I135" s="385">
        <f>TRUNC(SUM(I136:I138),2)</f>
        <v>7.47</v>
      </c>
      <c r="J135" s="404">
        <f>TRUNC((I135+H135),2)</f>
        <v>10.51</v>
      </c>
      <c r="K135" s="387"/>
    </row>
    <row r="136" spans="1:11">
      <c r="B136" s="50" t="s">
        <v>18</v>
      </c>
      <c r="C136" s="50" t="s">
        <v>34</v>
      </c>
      <c r="D136" s="58" t="s">
        <v>21</v>
      </c>
      <c r="E136" s="50" t="s">
        <v>14</v>
      </c>
      <c r="F136" s="51">
        <v>0.2</v>
      </c>
      <c r="G136" s="52">
        <v>16.32</v>
      </c>
      <c r="H136" s="42">
        <v>0</v>
      </c>
      <c r="I136" s="43">
        <f>TRUNC((G136*F136),2)</f>
        <v>3.26</v>
      </c>
      <c r="J136" s="719"/>
    </row>
    <row r="137" spans="1:11">
      <c r="B137" s="50" t="s">
        <v>18</v>
      </c>
      <c r="C137" s="50" t="s">
        <v>33</v>
      </c>
      <c r="D137" s="58" t="s">
        <v>22</v>
      </c>
      <c r="E137" s="50" t="s">
        <v>14</v>
      </c>
      <c r="F137" s="51">
        <v>0.2</v>
      </c>
      <c r="G137" s="52">
        <v>21.07</v>
      </c>
      <c r="H137" s="42">
        <v>0</v>
      </c>
      <c r="I137" s="43">
        <f>TRUNC((G137*F137),2)</f>
        <v>4.21</v>
      </c>
      <c r="J137" s="720"/>
    </row>
    <row r="138" spans="1:11" ht="25.5">
      <c r="B138" s="50" t="s">
        <v>23</v>
      </c>
      <c r="C138" s="50">
        <v>425</v>
      </c>
      <c r="D138" s="58" t="s">
        <v>530</v>
      </c>
      <c r="E138" s="50" t="s">
        <v>16</v>
      </c>
      <c r="F138" s="51">
        <v>1</v>
      </c>
      <c r="G138" s="52">
        <v>3.04</v>
      </c>
      <c r="H138" s="42">
        <f>TRUNC((G138*F138),2)</f>
        <v>3.04</v>
      </c>
      <c r="I138" s="43">
        <v>0</v>
      </c>
      <c r="J138" s="721"/>
    </row>
    <row r="139" spans="1:11">
      <c r="D139" s="429" t="s">
        <v>528</v>
      </c>
    </row>
  </sheetData>
  <mergeCells count="29">
    <mergeCell ref="J136:J138"/>
    <mergeCell ref="J93:J96"/>
    <mergeCell ref="J99:J102"/>
    <mergeCell ref="J105:J108"/>
    <mergeCell ref="J111:J122"/>
    <mergeCell ref="J125:J127"/>
    <mergeCell ref="J130:J132"/>
    <mergeCell ref="J87:J89"/>
    <mergeCell ref="I6:I7"/>
    <mergeCell ref="J6:J7"/>
    <mergeCell ref="J11:J17"/>
    <mergeCell ref="J27:J30"/>
    <mergeCell ref="J33:J35"/>
    <mergeCell ref="J38:J40"/>
    <mergeCell ref="J44:J46"/>
    <mergeCell ref="J50:J59"/>
    <mergeCell ref="J62:J64"/>
    <mergeCell ref="J67:J69"/>
    <mergeCell ref="J72:J74"/>
    <mergeCell ref="F4:I4"/>
    <mergeCell ref="A5:J5"/>
    <mergeCell ref="A6:A7"/>
    <mergeCell ref="B6:B7"/>
    <mergeCell ref="C6:C7"/>
    <mergeCell ref="D6:D7"/>
    <mergeCell ref="E6:E7"/>
    <mergeCell ref="F6:F7"/>
    <mergeCell ref="G6:G7"/>
    <mergeCell ref="H6:H7"/>
  </mergeCells>
  <conditionalFormatting sqref="H97">
    <cfRule type="expression" dxfId="39" priority="37" stopIfTrue="1">
      <formula>AND($B97&lt;&gt;"COMPOSICAO",$B97&lt;&gt;"INSUMO",$B97&lt;&gt;"")</formula>
    </cfRule>
    <cfRule type="expression" dxfId="38" priority="38" stopIfTrue="1">
      <formula>AND(OR($B97="COMPOSICAO",$B97="INSUMO",$B97&lt;&gt;""),$B97&lt;&gt;"")</formula>
    </cfRule>
  </conditionalFormatting>
  <conditionalFormatting sqref="J11">
    <cfRule type="expression" dxfId="37" priority="33" stopIfTrue="1">
      <formula>AND($B11&lt;&gt;"COMPOSICAO",$B11&lt;&gt;"INSUMO",$B11&lt;&gt;"")</formula>
    </cfRule>
    <cfRule type="expression" dxfId="36" priority="34" stopIfTrue="1">
      <formula>AND(OR($B11="COMPOSICAO",$B11="INSUMO",$B11&lt;&gt;""),$B11&lt;&gt;"")</formula>
    </cfRule>
  </conditionalFormatting>
  <conditionalFormatting sqref="D21">
    <cfRule type="expression" dxfId="35" priority="31" stopIfTrue="1">
      <formula>AND($B21&lt;&gt;"COMPOSICAO",$B21&lt;&gt;"INSUMO",$B21&lt;&gt;"")</formula>
    </cfRule>
    <cfRule type="expression" dxfId="34" priority="32" stopIfTrue="1">
      <formula>AND(OR($B21="COMPOSICAO",$B21="INSUMO",$B21&lt;&gt;""),$B21&lt;&gt;"")</formula>
    </cfRule>
  </conditionalFormatting>
  <conditionalFormatting sqref="H11:H12">
    <cfRule type="expression" dxfId="33" priority="35" stopIfTrue="1">
      <formula>AND($B11&lt;&gt;"COMPOSICAO",$B11&lt;&gt;"INSUMO",$B11&lt;&gt;"")</formula>
    </cfRule>
    <cfRule type="expression" dxfId="32" priority="36" stopIfTrue="1">
      <formula>AND(OR($B11="COMPOSICAO",$B11="INSUMO",$B11&lt;&gt;""),$B11&lt;&gt;"")</formula>
    </cfRule>
  </conditionalFormatting>
  <conditionalFormatting sqref="E21:F21">
    <cfRule type="expression" dxfId="31" priority="29" stopIfTrue="1">
      <formula>AND($B21&lt;&gt;"COMPOSICAO",$B21&lt;&gt;"INSUMO",$B21&lt;&gt;"")</formula>
    </cfRule>
    <cfRule type="expression" dxfId="30" priority="30" stopIfTrue="1">
      <formula>AND(OR($B21="COMPOSICAO",$B21="INSUMO",$B21&lt;&gt;""),$B21&lt;&gt;"")</formula>
    </cfRule>
  </conditionalFormatting>
  <conditionalFormatting sqref="D24:G24">
    <cfRule type="expression" dxfId="29" priority="27" stopIfTrue="1">
      <formula>AND($B24&lt;&gt;"COMPOSICAO",$B24&lt;&gt;"INSUMO",$B24&lt;&gt;"")</formula>
    </cfRule>
    <cfRule type="expression" dxfId="28" priority="28" stopIfTrue="1">
      <formula>AND(OR($B24="COMPOSICAO",$B24="INSUMO",$B24&lt;&gt;""),$B24&lt;&gt;"")</formula>
    </cfRule>
  </conditionalFormatting>
  <conditionalFormatting sqref="C63:C64 C44:C48">
    <cfRule type="expression" dxfId="27" priority="25" stopIfTrue="1">
      <formula>AND($A44&lt;&gt;"COMPOSICAO",$A44&lt;&gt;"INSUMO",$A44&lt;&gt;"")</formula>
    </cfRule>
    <cfRule type="expression" dxfId="26" priority="26" stopIfTrue="1">
      <formula>AND(OR($A44="COMPOSICAO",$A44="INSUMO",$A44&lt;&gt;""),$A44&lt;&gt;"")</formula>
    </cfRule>
  </conditionalFormatting>
  <conditionalFormatting sqref="C69">
    <cfRule type="expression" dxfId="25" priority="23" stopIfTrue="1">
      <formula>AND($A69&lt;&gt;"COMPOSICAO",$A69&lt;&gt;"INSUMO",$A69&lt;&gt;"")</formula>
    </cfRule>
    <cfRule type="expression" dxfId="24" priority="24" stopIfTrue="1">
      <formula>AND(OR($A69="COMPOSICAO",$A69="INSUMO",$A69&lt;&gt;""),$A69&lt;&gt;"")</formula>
    </cfRule>
  </conditionalFormatting>
  <conditionalFormatting sqref="D72:D74">
    <cfRule type="expression" dxfId="23" priority="17" stopIfTrue="1">
      <formula>AND($B72&lt;&gt;"COMPOSICAO",$B72&lt;&gt;"INSUMO",$B72&lt;&gt;"")</formula>
    </cfRule>
    <cfRule type="expression" dxfId="22" priority="18" stopIfTrue="1">
      <formula>AND(OR($B72="COMPOSICAO",$B72="INSUMO",$B72&lt;&gt;""),$B72&lt;&gt;"")</formula>
    </cfRule>
  </conditionalFormatting>
  <conditionalFormatting sqref="C72:C74">
    <cfRule type="expression" dxfId="21" priority="19" stopIfTrue="1">
      <formula>AND($A72&lt;&gt;"COMPOSICAO",$A72&lt;&gt;"INSUMO",$A72&lt;&gt;"")</formula>
    </cfRule>
    <cfRule type="expression" dxfId="20" priority="20" stopIfTrue="1">
      <formula>AND(OR($A72="COMPOSICAO",$A72="INSUMO",$A72&lt;&gt;""),$A72&lt;&gt;"")</formula>
    </cfRule>
  </conditionalFormatting>
  <conditionalFormatting sqref="B34:B35 D33:F35">
    <cfRule type="expression" dxfId="19" priority="15" stopIfTrue="1">
      <formula>AND($A33&lt;&gt;"COMPOSICAO",$A33&lt;&gt;"INSUMO",$A33&lt;&gt;"")</formula>
    </cfRule>
    <cfRule type="expression" dxfId="18" priority="16" stopIfTrue="1">
      <formula>AND(OR($A33="COMPOSICAO",$A33="INSUMO",$A33&lt;&gt;""),$A33&lt;&gt;"")</formula>
    </cfRule>
  </conditionalFormatting>
  <conditionalFormatting sqref="D33:D35">
    <cfRule type="expression" dxfId="17" priority="13" stopIfTrue="1">
      <formula>AND($A33&lt;&gt;"COMPOSICAO",$A33&lt;&gt;"INSUMO",$A33&lt;&gt;"")</formula>
    </cfRule>
    <cfRule type="expression" dxfId="16" priority="14" stopIfTrue="1">
      <formula>AND(OR($A33="COMPOSICAO",$A33="INSUMO",$A33&lt;&gt;""),$A33&lt;&gt;"")</formula>
    </cfRule>
  </conditionalFormatting>
  <conditionalFormatting sqref="E33:E35">
    <cfRule type="expression" dxfId="15" priority="11" stopIfTrue="1">
      <formula>AND($A33&lt;&gt;"COMPOSICAO",$A33&lt;&gt;"INSUMO",$A33&lt;&gt;"")</formula>
    </cfRule>
    <cfRule type="expression" dxfId="14" priority="12" stopIfTrue="1">
      <formula>AND(OR($A33="COMPOSICAO",$A33="INSUMO",$A33&lt;&gt;""),$A33&lt;&gt;"")</formula>
    </cfRule>
  </conditionalFormatting>
  <conditionalFormatting sqref="F33:F35">
    <cfRule type="expression" dxfId="13" priority="9" stopIfTrue="1">
      <formula>AND($A33&lt;&gt;"COMPOSICAO",$A33&lt;&gt;"INSUMO",$A33&lt;&gt;"")</formula>
    </cfRule>
    <cfRule type="expression" dxfId="12" priority="10" stopIfTrue="1">
      <formula>AND(OR($A33="COMPOSICAO",$A33="INSUMO",$A33&lt;&gt;""),$A33&lt;&gt;"")</formula>
    </cfRule>
  </conditionalFormatting>
  <conditionalFormatting sqref="B33">
    <cfRule type="expression" dxfId="11" priority="7" stopIfTrue="1">
      <formula>AND($A33&lt;&gt;"COMPOSICAO",$A33&lt;&gt;"INSUMO",$A33&lt;&gt;"")</formula>
    </cfRule>
    <cfRule type="expression" dxfId="10" priority="8" stopIfTrue="1">
      <formula>AND(OR($A33="COMPOSICAO",$A33="INSUMO",$A33&lt;&gt;""),$A33&lt;&gt;"")</formula>
    </cfRule>
  </conditionalFormatting>
  <conditionalFormatting sqref="B44:B48">
    <cfRule type="expression" dxfId="9" priority="5" stopIfTrue="1">
      <formula>AND($A44&lt;&gt;"COMPOSICAO",$A44&lt;&gt;"INSUMO",$A44&lt;&gt;"")</formula>
    </cfRule>
    <cfRule type="expression" dxfId="8" priority="6" stopIfTrue="1">
      <formula>AND(OR($A44="COMPOSICAO",$A44="INSUMO",$A44&lt;&gt;""),$A44&lt;&gt;"")</formula>
    </cfRule>
  </conditionalFormatting>
  <conditionalFormatting sqref="C67:C68">
    <cfRule type="expression" dxfId="7" priority="3" stopIfTrue="1">
      <formula>AND($A67&lt;&gt;"COMPOSICAO",$A67&lt;&gt;"INSUMO",$A67&lt;&gt;"")</formula>
    </cfRule>
    <cfRule type="expression" dxfId="6" priority="4" stopIfTrue="1">
      <formula>AND(OR($A67="COMPOSICAO",$A67="INSUMO",$A67&lt;&gt;""),$A67&lt;&gt;"")</formula>
    </cfRule>
  </conditionalFormatting>
  <conditionalFormatting sqref="D67:D68">
    <cfRule type="expression" dxfId="5" priority="1" stopIfTrue="1">
      <formula>AND($B67&lt;&gt;"COMPOSICAO",$B67&lt;&gt;"INSUMO",$B67&lt;&gt;"")</formula>
    </cfRule>
    <cfRule type="expression" dxfId="4" priority="2" stopIfTrue="1">
      <formula>AND(OR($B67="COMPOSICAO",$B67="INSUMO",$B67&lt;&gt;""),$B67&lt;&gt;"")</formula>
    </cfRule>
  </conditionalFormatting>
  <printOptions horizontalCentered="1" gridLines="1"/>
  <pageMargins left="0.51181102362204722" right="0.51181102362204722" top="0.98425196850393704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312"/>
  <sheetViews>
    <sheetView workbookViewId="0">
      <selection activeCell="K9" sqref="K9"/>
    </sheetView>
  </sheetViews>
  <sheetFormatPr defaultColWidth="9.140625" defaultRowHeight="12.75"/>
  <cols>
    <col min="1" max="1" width="2.28515625" style="455" customWidth="1"/>
    <col min="2" max="2" width="35.85546875" style="455" customWidth="1"/>
    <col min="3" max="6" width="14.7109375" style="455" customWidth="1"/>
    <col min="7" max="7" width="2.28515625" style="455" customWidth="1"/>
    <col min="8" max="8" width="15.28515625" style="455" customWidth="1"/>
    <col min="9" max="9" width="18.140625" style="455" bestFit="1" customWidth="1"/>
    <col min="10" max="10" width="5.140625" style="455" customWidth="1"/>
    <col min="11" max="12" width="9.140625" style="455"/>
    <col min="13" max="13" width="18.7109375" style="455" customWidth="1"/>
    <col min="14" max="14" width="0" style="455" hidden="1" customWidth="1"/>
    <col min="15" max="15" width="15.42578125" style="455" hidden="1" customWidth="1"/>
    <col min="16" max="16" width="41.7109375" style="455" hidden="1" customWidth="1"/>
    <col min="17" max="17" width="18.85546875" style="455" hidden="1" customWidth="1"/>
    <col min="18" max="24" width="11.7109375" style="455" hidden="1" customWidth="1"/>
    <col min="25" max="37" width="0" style="455" hidden="1" customWidth="1"/>
    <col min="38" max="38" width="13.85546875" style="455" hidden="1" customWidth="1"/>
    <col min="39" max="39" width="38.7109375" style="455" hidden="1" customWidth="1"/>
    <col min="40" max="40" width="11.85546875" style="455" hidden="1" customWidth="1"/>
    <col min="41" max="41" width="8.7109375" style="455" hidden="1" customWidth="1"/>
    <col min="42" max="42" width="11.85546875" style="455" hidden="1" customWidth="1"/>
    <col min="43" max="43" width="9.28515625" style="455" hidden="1" customWidth="1"/>
    <col min="44" max="44" width="11.85546875" style="455" hidden="1" customWidth="1"/>
    <col min="45" max="45" width="1" style="455" hidden="1" customWidth="1"/>
    <col min="46" max="46" width="9.140625" style="455"/>
    <col min="47" max="47" width="13.28515625" style="455" bestFit="1" customWidth="1"/>
    <col min="48" max="71" width="9.140625" style="455"/>
    <col min="72" max="72" width="22.7109375" style="455" bestFit="1" customWidth="1"/>
    <col min="73" max="73" width="29" style="455" customWidth="1"/>
    <col min="74" max="74" width="9.5703125" style="455" customWidth="1"/>
    <col min="75" max="75" width="11.5703125" style="455" customWidth="1"/>
    <col min="76" max="76" width="10.7109375" style="455" customWidth="1"/>
    <col min="77" max="77" width="9.140625" style="455"/>
    <col min="78" max="81" width="2.42578125" style="455" customWidth="1"/>
    <col min="82" max="82" width="4.85546875" style="455" bestFit="1" customWidth="1"/>
    <col min="83" max="83" width="29.42578125" style="455" bestFit="1" customWidth="1"/>
    <col min="84" max="84" width="17" style="455" bestFit="1" customWidth="1"/>
    <col min="85" max="85" width="14.42578125" style="455" bestFit="1" customWidth="1"/>
    <col min="86" max="86" width="17" style="455" bestFit="1" customWidth="1"/>
    <col min="87" max="87" width="8.85546875" style="455" customWidth="1"/>
    <col min="88" max="97" width="2.42578125" style="455" customWidth="1"/>
    <col min="98" max="16384" width="9.140625" style="455"/>
  </cols>
  <sheetData>
    <row r="1" spans="1:11" ht="26.25" customHeight="1">
      <c r="A1" s="722" t="s">
        <v>80</v>
      </c>
      <c r="B1" s="723"/>
      <c r="C1" s="723"/>
      <c r="D1" s="723"/>
      <c r="E1" s="723"/>
      <c r="F1" s="723"/>
      <c r="G1" s="724"/>
    </row>
    <row r="2" spans="1:11">
      <c r="A2" s="11" t="s">
        <v>184</v>
      </c>
      <c r="B2" s="603"/>
      <c r="C2" s="603"/>
      <c r="D2" s="603"/>
      <c r="E2" s="603"/>
      <c r="F2" s="603"/>
      <c r="G2" s="604"/>
    </row>
    <row r="3" spans="1:11" ht="13.15" customHeight="1">
      <c r="A3" s="22" t="s">
        <v>93</v>
      </c>
      <c r="B3" s="605"/>
      <c r="C3" s="605"/>
      <c r="D3" s="605"/>
      <c r="E3" s="605"/>
      <c r="F3" s="605"/>
      <c r="G3" s="606"/>
    </row>
    <row r="4" spans="1:11" ht="13.15" customHeight="1" thickBot="1">
      <c r="A4" s="461"/>
      <c r="B4" s="462"/>
      <c r="C4" s="462"/>
      <c r="D4" s="462"/>
      <c r="E4" s="462"/>
      <c r="F4" s="462"/>
      <c r="G4" s="463"/>
    </row>
    <row r="5" spans="1:11" ht="15" customHeight="1" thickTop="1" thickBot="1">
      <c r="A5" s="464"/>
      <c r="B5" s="725" t="s">
        <v>539</v>
      </c>
      <c r="C5" s="725"/>
      <c r="D5" s="725"/>
      <c r="E5" s="725"/>
      <c r="F5" s="725"/>
      <c r="G5" s="465"/>
    </row>
    <row r="6" spans="1:11" s="435" customFormat="1" ht="16.5" thickTop="1">
      <c r="A6" s="466"/>
      <c r="B6" s="467"/>
      <c r="C6" s="467"/>
      <c r="D6" s="467"/>
      <c r="E6" s="467"/>
      <c r="F6" s="467"/>
      <c r="G6" s="468"/>
      <c r="H6" s="455"/>
      <c r="I6" s="455"/>
      <c r="J6" s="455"/>
    </row>
    <row r="7" spans="1:11" ht="26.45" customHeight="1">
      <c r="A7" s="466"/>
      <c r="B7" s="726" t="s">
        <v>104</v>
      </c>
      <c r="C7" s="726"/>
      <c r="D7" s="726"/>
      <c r="E7" s="726"/>
      <c r="F7" s="726"/>
      <c r="G7" s="468"/>
    </row>
    <row r="8" spans="1:11">
      <c r="A8" s="466"/>
      <c r="B8" s="469"/>
      <c r="C8" s="469"/>
      <c r="D8" s="469"/>
      <c r="E8" s="469"/>
      <c r="F8" s="469"/>
      <c r="G8" s="468"/>
    </row>
    <row r="9" spans="1:11" ht="27.6" customHeight="1">
      <c r="A9" s="466"/>
      <c r="B9" s="470" t="s">
        <v>105</v>
      </c>
      <c r="C9" s="727" t="s">
        <v>106</v>
      </c>
      <c r="D9" s="728"/>
      <c r="E9" s="728"/>
      <c r="F9" s="729"/>
      <c r="G9" s="468"/>
    </row>
    <row r="10" spans="1:11">
      <c r="A10" s="466"/>
      <c r="B10" s="469"/>
      <c r="C10" s="471"/>
      <c r="D10" s="471"/>
      <c r="E10" s="471"/>
      <c r="F10" s="471"/>
      <c r="G10" s="468"/>
      <c r="H10" s="435"/>
    </row>
    <row r="11" spans="1:11">
      <c r="A11" s="466"/>
      <c r="B11" s="470" t="s">
        <v>107</v>
      </c>
      <c r="C11" s="471"/>
      <c r="D11" s="471"/>
      <c r="E11" s="471"/>
      <c r="F11" s="472" t="s">
        <v>108</v>
      </c>
      <c r="G11" s="468"/>
      <c r="H11" s="435"/>
      <c r="K11" s="473" t="str">
        <f>IF(F11="","PREENCHER SE A OBRA POSSUI FOLHA DE PAGAMENTO DESONERADA","")</f>
        <v/>
      </c>
    </row>
    <row r="12" spans="1:11">
      <c r="A12" s="466"/>
      <c r="B12" s="474" t="s">
        <v>109</v>
      </c>
      <c r="C12" s="471"/>
      <c r="D12" s="471"/>
      <c r="E12" s="471"/>
      <c r="F12" s="471"/>
      <c r="G12" s="468"/>
      <c r="H12" s="435"/>
    </row>
    <row r="13" spans="1:11">
      <c r="A13" s="466"/>
      <c r="B13" s="469"/>
      <c r="C13" s="469"/>
      <c r="D13" s="469"/>
      <c r="E13" s="475"/>
      <c r="F13" s="469"/>
      <c r="G13" s="468"/>
      <c r="H13" s="435"/>
    </row>
    <row r="14" spans="1:11">
      <c r="A14" s="466"/>
      <c r="B14" s="469" t="s">
        <v>110</v>
      </c>
      <c r="C14" s="469"/>
      <c r="D14" s="469"/>
      <c r="E14" s="475"/>
      <c r="F14" s="469"/>
      <c r="G14" s="468"/>
      <c r="H14" s="435"/>
    </row>
    <row r="15" spans="1:11" ht="82.15" customHeight="1">
      <c r="A15" s="466"/>
      <c r="B15" s="730" t="str">
        <f>IF(C9="","",VLOOKUP(BU295,BV257:BW262,2,0))</f>
        <v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v>
      </c>
      <c r="C15" s="731"/>
      <c r="D15" s="731"/>
      <c r="E15" s="731"/>
      <c r="F15" s="732"/>
      <c r="G15" s="468"/>
      <c r="H15" s="435"/>
    </row>
    <row r="16" spans="1:11">
      <c r="A16" s="466"/>
      <c r="B16" s="469"/>
      <c r="C16" s="469"/>
      <c r="D16" s="469"/>
      <c r="E16" s="475"/>
      <c r="F16" s="469"/>
      <c r="G16" s="468"/>
      <c r="H16" s="435"/>
    </row>
    <row r="17" spans="1:48">
      <c r="A17" s="466"/>
      <c r="B17" s="469" t="s">
        <v>111</v>
      </c>
      <c r="C17" s="469"/>
      <c r="D17" s="469"/>
      <c r="E17" s="475"/>
      <c r="F17" s="469"/>
      <c r="G17" s="468"/>
      <c r="H17" s="435"/>
    </row>
    <row r="18" spans="1:48">
      <c r="A18" s="466"/>
      <c r="B18" s="469"/>
      <c r="C18" s="469"/>
      <c r="D18" s="469"/>
      <c r="E18" s="475"/>
      <c r="F18" s="469"/>
      <c r="G18" s="468"/>
      <c r="H18" s="435"/>
    </row>
    <row r="19" spans="1:48">
      <c r="A19" s="466"/>
      <c r="B19" s="469" t="s">
        <v>112</v>
      </c>
      <c r="C19" s="469"/>
      <c r="D19" s="733">
        <v>3.6499999999999998E-2</v>
      </c>
      <c r="E19" s="733"/>
      <c r="F19" s="733"/>
      <c r="G19" s="468"/>
      <c r="H19" s="435"/>
      <c r="K19" s="734"/>
      <c r="L19" s="734"/>
      <c r="M19" s="734"/>
      <c r="N19" s="734"/>
      <c r="O19" s="734"/>
      <c r="P19" s="734"/>
      <c r="Q19" s="734"/>
      <c r="R19" s="734"/>
      <c r="S19" s="734"/>
      <c r="T19" s="734"/>
      <c r="U19" s="734"/>
      <c r="V19" s="734"/>
      <c r="W19" s="734"/>
      <c r="X19" s="734"/>
      <c r="Y19" s="734"/>
      <c r="Z19" s="734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734"/>
      <c r="AT19" s="734"/>
      <c r="AU19" s="734"/>
      <c r="AV19" s="734"/>
    </row>
    <row r="20" spans="1:48">
      <c r="A20" s="466"/>
      <c r="B20" s="469"/>
      <c r="C20" s="469"/>
      <c r="D20" s="469"/>
      <c r="E20" s="476"/>
      <c r="F20" s="476"/>
      <c r="G20" s="468"/>
      <c r="H20" s="435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734"/>
      <c r="AT20" s="734"/>
      <c r="AU20" s="734"/>
      <c r="AV20" s="734"/>
    </row>
    <row r="21" spans="1:48" ht="24.75" customHeight="1">
      <c r="A21" s="466"/>
      <c r="B21" s="469" t="s">
        <v>113</v>
      </c>
      <c r="C21" s="469"/>
      <c r="D21" s="735" t="s">
        <v>114</v>
      </c>
      <c r="E21" s="735"/>
      <c r="F21" s="735"/>
      <c r="G21" s="468"/>
      <c r="H21" s="435"/>
      <c r="K21" s="477"/>
    </row>
    <row r="22" spans="1:48">
      <c r="A22" s="466"/>
      <c r="B22" s="478">
        <v>0.05</v>
      </c>
      <c r="C22" s="479"/>
      <c r="D22" s="733">
        <v>0.65990000000000004</v>
      </c>
      <c r="E22" s="733"/>
      <c r="F22" s="733"/>
      <c r="G22" s="468"/>
      <c r="H22" s="435"/>
      <c r="K22" s="477"/>
    </row>
    <row r="23" spans="1:48">
      <c r="A23" s="466"/>
      <c r="B23" s="471"/>
      <c r="C23" s="469"/>
      <c r="D23" s="469"/>
      <c r="E23" s="469"/>
      <c r="F23" s="469"/>
      <c r="G23" s="468"/>
      <c r="H23" s="435"/>
      <c r="K23" s="477"/>
    </row>
    <row r="24" spans="1:48">
      <c r="A24" s="466"/>
      <c r="B24" s="469" t="s">
        <v>115</v>
      </c>
      <c r="C24" s="480">
        <f>+B22*D22</f>
        <v>3.2995000000000003E-2</v>
      </c>
      <c r="D24" s="481"/>
      <c r="E24" s="482"/>
      <c r="F24" s="471"/>
      <c r="G24" s="468"/>
      <c r="H24" s="435"/>
      <c r="K24" s="477"/>
    </row>
    <row r="25" spans="1:48">
      <c r="A25" s="466"/>
      <c r="B25" s="471"/>
      <c r="C25" s="480"/>
      <c r="D25" s="471"/>
      <c r="E25" s="471"/>
      <c r="F25" s="471"/>
      <c r="G25" s="468"/>
      <c r="H25" s="435"/>
      <c r="K25" s="477"/>
    </row>
    <row r="26" spans="1:48" ht="15.75">
      <c r="A26" s="466"/>
      <c r="B26" s="471"/>
      <c r="C26" s="471"/>
      <c r="D26" s="736" t="s">
        <v>116</v>
      </c>
      <c r="E26" s="736"/>
      <c r="F26" s="483">
        <f>D19+C24</f>
        <v>6.9495000000000001E-2</v>
      </c>
      <c r="G26" s="468"/>
      <c r="H26" s="435"/>
      <c r="K26" s="477"/>
    </row>
    <row r="27" spans="1:48">
      <c r="A27" s="466"/>
      <c r="B27" s="471"/>
      <c r="C27" s="480"/>
      <c r="D27" s="471"/>
      <c r="E27" s="471"/>
      <c r="F27" s="471"/>
      <c r="G27" s="468"/>
      <c r="H27" s="435"/>
      <c r="K27" s="477"/>
    </row>
    <row r="28" spans="1:48">
      <c r="A28" s="466"/>
      <c r="B28" s="737" t="s">
        <v>117</v>
      </c>
      <c r="C28" s="737"/>
      <c r="D28" s="737"/>
      <c r="E28" s="737"/>
      <c r="F28" s="737"/>
      <c r="G28" s="468"/>
      <c r="H28" s="435"/>
      <c r="K28" s="477"/>
      <c r="M28" s="484"/>
    </row>
    <row r="29" spans="1:48" ht="13.5" thickBot="1">
      <c r="A29" s="466"/>
      <c r="B29" s="471"/>
      <c r="C29" s="471"/>
      <c r="D29" s="471"/>
      <c r="E29" s="471"/>
      <c r="F29" s="471"/>
      <c r="G29" s="468"/>
      <c r="K29" s="477"/>
    </row>
    <row r="30" spans="1:48">
      <c r="A30" s="485"/>
      <c r="B30" s="486"/>
      <c r="C30" s="486"/>
      <c r="D30" s="486"/>
      <c r="E30" s="486"/>
      <c r="F30" s="486"/>
      <c r="G30" s="487"/>
      <c r="K30" s="477"/>
    </row>
    <row r="31" spans="1:48">
      <c r="A31" s="466"/>
      <c r="B31" s="736" t="s">
        <v>118</v>
      </c>
      <c r="C31" s="736"/>
      <c r="D31" s="736"/>
      <c r="E31" s="736"/>
      <c r="F31" s="736"/>
      <c r="G31" s="468"/>
      <c r="H31" s="435"/>
      <c r="K31" s="477"/>
    </row>
    <row r="32" spans="1:48">
      <c r="A32" s="466"/>
      <c r="B32" s="736"/>
      <c r="C32" s="736"/>
      <c r="D32" s="736"/>
      <c r="E32" s="736"/>
      <c r="F32" s="736"/>
      <c r="G32" s="468"/>
      <c r="H32" s="435"/>
      <c r="K32" s="477"/>
    </row>
    <row r="33" spans="1:11">
      <c r="A33" s="466"/>
      <c r="B33" s="488" t="s">
        <v>119</v>
      </c>
      <c r="C33" s="488" t="s">
        <v>120</v>
      </c>
      <c r="D33" s="488" t="s">
        <v>121</v>
      </c>
      <c r="E33" s="488" t="s">
        <v>122</v>
      </c>
      <c r="F33" s="488" t="s">
        <v>123</v>
      </c>
      <c r="G33" s="468"/>
      <c r="H33" s="435"/>
      <c r="I33" s="489" t="s">
        <v>124</v>
      </c>
      <c r="K33" s="477"/>
    </row>
    <row r="34" spans="1:11">
      <c r="A34" s="466"/>
      <c r="B34" s="490" t="s">
        <v>125</v>
      </c>
      <c r="C34" s="491">
        <f t="shared" ref="C34:E38" si="0">BV296</f>
        <v>5.2900000000000003E-2</v>
      </c>
      <c r="D34" s="491">
        <f>BW296</f>
        <v>5.9200000000000003E-2</v>
      </c>
      <c r="E34" s="491">
        <f>BX296</f>
        <v>7.9299999999999995E-2</v>
      </c>
      <c r="F34" s="492">
        <v>5.2900000000000003E-2</v>
      </c>
      <c r="G34" s="493"/>
      <c r="H34" s="494"/>
      <c r="I34" s="495">
        <f>TRUNC(F34,4)</f>
        <v>5.2900000000000003E-2</v>
      </c>
      <c r="K34" s="473" t="str">
        <f>IF(F34&lt;&gt;"",IF(OR(F34&gt;E34,F34&lt;C34),"CORRIGIR % ADOTADO",""),"")</f>
        <v/>
      </c>
    </row>
    <row r="35" spans="1:11">
      <c r="A35" s="466"/>
      <c r="B35" s="490" t="s">
        <v>126</v>
      </c>
      <c r="C35" s="491">
        <f t="shared" si="0"/>
        <v>2.5000000000000001E-3</v>
      </c>
      <c r="D35" s="491">
        <f t="shared" si="0"/>
        <v>5.1000000000000004E-3</v>
      </c>
      <c r="E35" s="491">
        <f t="shared" si="0"/>
        <v>5.5999999999999999E-3</v>
      </c>
      <c r="F35" s="496">
        <v>2.5000000000000001E-3</v>
      </c>
      <c r="G35" s="493"/>
      <c r="H35" s="494"/>
      <c r="I35" s="495">
        <f>TRUNC(F35,4)</f>
        <v>2.5000000000000001E-3</v>
      </c>
      <c r="K35" s="473" t="str">
        <f>IF(F35&lt;&gt;"",IF(OR(F35&gt;E35,F35&lt;C35),"CORRIGIR % ADOTADO",""),"")</f>
        <v/>
      </c>
    </row>
    <row r="36" spans="1:11">
      <c r="A36" s="466"/>
      <c r="B36" s="490" t="s">
        <v>30</v>
      </c>
      <c r="C36" s="491">
        <f t="shared" si="0"/>
        <v>0.01</v>
      </c>
      <c r="D36" s="491">
        <f t="shared" si="0"/>
        <v>1.4800000000000001E-2</v>
      </c>
      <c r="E36" s="491">
        <f t="shared" si="0"/>
        <v>1.9699999999999999E-2</v>
      </c>
      <c r="F36" s="496">
        <v>0.01</v>
      </c>
      <c r="G36" s="493"/>
      <c r="H36" s="494"/>
      <c r="I36" s="495">
        <f>TRUNC(F36,4)</f>
        <v>0.01</v>
      </c>
      <c r="K36" s="473" t="str">
        <f>IF(F36&lt;&gt;"",IF(OR(F36&gt;E36,F36&lt;C36),"CORRIGIR % ADOTADO",""),"")</f>
        <v/>
      </c>
    </row>
    <row r="37" spans="1:11">
      <c r="A37" s="466"/>
      <c r="B37" s="490" t="s">
        <v>127</v>
      </c>
      <c r="C37" s="491">
        <f t="shared" si="0"/>
        <v>1.01E-2</v>
      </c>
      <c r="D37" s="491">
        <f t="shared" si="0"/>
        <v>1.0699999999999999E-2</v>
      </c>
      <c r="E37" s="491">
        <f t="shared" si="0"/>
        <v>1.11E-2</v>
      </c>
      <c r="F37" s="496">
        <v>1.01E-2</v>
      </c>
      <c r="G37" s="493"/>
      <c r="H37" s="494"/>
      <c r="I37" s="495">
        <f>TRUNC(F37,4)</f>
        <v>1.01E-2</v>
      </c>
      <c r="K37" s="473" t="str">
        <f>IF(F37&lt;&gt;"",IF(OR(F37&gt;E37,F37&lt;C37),"CORRIGIR % ADOTADO",""),"")</f>
        <v/>
      </c>
    </row>
    <row r="38" spans="1:11">
      <c r="A38" s="466"/>
      <c r="B38" s="490" t="s">
        <v>128</v>
      </c>
      <c r="C38" s="491">
        <f t="shared" si="0"/>
        <v>0.08</v>
      </c>
      <c r="D38" s="491">
        <f t="shared" si="0"/>
        <v>8.3099999999999993E-2</v>
      </c>
      <c r="E38" s="491">
        <f t="shared" si="0"/>
        <v>9.5100000000000004E-2</v>
      </c>
      <c r="F38" s="497">
        <v>0.08</v>
      </c>
      <c r="G38" s="493"/>
      <c r="H38" s="494"/>
      <c r="I38" s="495">
        <f>TRUNC(F38,4)</f>
        <v>0.08</v>
      </c>
      <c r="K38" s="473" t="str">
        <f>IF(F38&lt;&gt;"",IF(OR(F38&gt;E38,F38&lt;C38),"CORRIGIR % ADOTADO",""),"")</f>
        <v/>
      </c>
    </row>
    <row r="39" spans="1:11">
      <c r="A39" s="466"/>
      <c r="B39" s="490"/>
      <c r="C39" s="491"/>
      <c r="D39" s="491"/>
      <c r="E39" s="491"/>
      <c r="F39" s="471"/>
      <c r="G39" s="493"/>
      <c r="H39" s="494"/>
    </row>
    <row r="40" spans="1:11">
      <c r="A40" s="466"/>
      <c r="B40" s="498" t="s">
        <v>129</v>
      </c>
      <c r="C40" s="491"/>
      <c r="D40" s="491"/>
      <c r="E40" s="491"/>
      <c r="F40" s="499">
        <f>F26</f>
        <v>6.9495000000000001E-2</v>
      </c>
      <c r="G40" s="493"/>
      <c r="H40" s="494"/>
      <c r="I40" s="500">
        <f>TRUNC(F40,5)</f>
        <v>6.9489999999999996E-2</v>
      </c>
    </row>
    <row r="41" spans="1:11">
      <c r="A41" s="466"/>
      <c r="B41" s="471"/>
      <c r="C41" s="471"/>
      <c r="D41" s="471"/>
      <c r="E41" s="471"/>
      <c r="F41" s="471"/>
      <c r="G41" s="493"/>
      <c r="H41" s="494"/>
    </row>
    <row r="42" spans="1:11">
      <c r="A42" s="466"/>
      <c r="B42" s="471"/>
      <c r="C42" s="471"/>
      <c r="D42" s="471"/>
      <c r="E42" s="471"/>
      <c r="F42" s="471"/>
      <c r="G42" s="468"/>
      <c r="H42" s="494"/>
    </row>
    <row r="43" spans="1:11">
      <c r="A43" s="466"/>
      <c r="B43" s="471"/>
      <c r="C43" s="471"/>
      <c r="D43" s="471"/>
      <c r="E43" s="471"/>
      <c r="F43" s="471"/>
      <c r="G43" s="468"/>
      <c r="H43" s="435"/>
    </row>
    <row r="44" spans="1:11">
      <c r="A44" s="466"/>
      <c r="B44" s="471"/>
      <c r="C44" s="471"/>
      <c r="D44" s="471"/>
      <c r="E44" s="471"/>
      <c r="F44" s="471"/>
      <c r="G44" s="468"/>
      <c r="H44" s="435"/>
    </row>
    <row r="45" spans="1:11">
      <c r="A45" s="466"/>
      <c r="B45" s="471"/>
      <c r="C45" s="471"/>
      <c r="D45" s="471"/>
      <c r="E45" s="471"/>
      <c r="F45" s="471"/>
      <c r="G45" s="468"/>
      <c r="H45" s="435"/>
    </row>
    <row r="46" spans="1:11" ht="16.5" thickBot="1">
      <c r="A46" s="466"/>
      <c r="B46" s="501" t="s">
        <v>130</v>
      </c>
      <c r="C46" s="471"/>
      <c r="D46" s="471"/>
      <c r="E46" s="738">
        <f>ROUND((((1+I34+I35+I36)*(1+I37)*(1+I38))/(1-I40))-1,4)</f>
        <v>0.249</v>
      </c>
      <c r="F46" s="738"/>
      <c r="G46" s="468"/>
      <c r="H46" s="435"/>
      <c r="K46" s="502" t="str">
        <f>IF(F11="SIM","PARA SIMPLES CONFERÊNCIA","")</f>
        <v/>
      </c>
    </row>
    <row r="47" spans="1:11" ht="21.75" thickTop="1" thickBot="1">
      <c r="A47" s="466"/>
      <c r="B47" s="739" t="str">
        <f>IF(E46&lt;C50,"ERRO - BDI INFERIOR AO 1º QUARTIL",IF(E46&gt;E50,"ERRO - BDI SUPERIOR AO 3º QUARTIL","BDI CONFORME"))</f>
        <v>BDI CONFORME</v>
      </c>
      <c r="C47" s="740"/>
      <c r="D47" s="740"/>
      <c r="E47" s="740"/>
      <c r="F47" s="741"/>
      <c r="G47" s="468"/>
      <c r="H47" s="435"/>
    </row>
    <row r="48" spans="1:11" ht="19.5" thickTop="1">
      <c r="A48" s="466"/>
      <c r="B48" s="503"/>
      <c r="C48" s="503"/>
      <c r="D48" s="503"/>
      <c r="E48" s="503"/>
      <c r="F48" s="503"/>
      <c r="G48" s="468"/>
      <c r="H48" s="435"/>
    </row>
    <row r="49" spans="1:48">
      <c r="A49" s="466"/>
      <c r="B49" s="471"/>
      <c r="C49" s="504" t="s">
        <v>120</v>
      </c>
      <c r="D49" s="504" t="s">
        <v>121</v>
      </c>
      <c r="E49" s="504" t="s">
        <v>122</v>
      </c>
      <c r="F49" s="471"/>
      <c r="G49" s="468"/>
      <c r="H49" s="435"/>
    </row>
    <row r="50" spans="1:48">
      <c r="A50" s="466"/>
      <c r="B50" s="505" t="s">
        <v>131</v>
      </c>
      <c r="C50" s="506">
        <f>BV295</f>
        <v>0.24</v>
      </c>
      <c r="D50" s="506">
        <f>BW295</f>
        <v>0.25840000000000002</v>
      </c>
      <c r="E50" s="506">
        <f>BX295</f>
        <v>0.27860000000000001</v>
      </c>
      <c r="F50" s="471"/>
      <c r="G50" s="468"/>
      <c r="H50" s="435"/>
    </row>
    <row r="51" spans="1:48" hidden="1">
      <c r="A51" s="466"/>
      <c r="B51" s="505"/>
      <c r="C51" s="506"/>
      <c r="D51" s="506"/>
      <c r="E51" s="506"/>
      <c r="F51" s="471"/>
      <c r="G51" s="468"/>
      <c r="H51" s="435"/>
    </row>
    <row r="52" spans="1:48" hidden="1">
      <c r="A52" s="466"/>
      <c r="B52" s="736" t="s">
        <v>132</v>
      </c>
      <c r="C52" s="736"/>
      <c r="D52" s="736"/>
      <c r="E52" s="736"/>
      <c r="F52" s="736"/>
      <c r="G52" s="468"/>
      <c r="H52" s="435"/>
    </row>
    <row r="53" spans="1:48" hidden="1">
      <c r="A53" s="466"/>
      <c r="B53" s="507"/>
      <c r="C53" s="507"/>
      <c r="D53" s="507"/>
      <c r="E53" s="507"/>
      <c r="F53" s="507"/>
      <c r="G53" s="468"/>
      <c r="H53" s="435"/>
    </row>
    <row r="54" spans="1:48" ht="17.25" hidden="1" thickTop="1" thickBot="1">
      <c r="A54" s="466"/>
      <c r="B54" s="742" t="s">
        <v>133</v>
      </c>
      <c r="C54" s="742"/>
      <c r="D54" s="742"/>
      <c r="E54" s="743">
        <f>ROUND((((1+I34+I35+I36)*(1+I37)*(1+I38))/(1-I56))-1,4)</f>
        <v>0.3125</v>
      </c>
      <c r="F54" s="744"/>
      <c r="G54" s="468"/>
      <c r="H54" s="435"/>
      <c r="K54" s="508" t="str">
        <f>IF(F11="SIM","UTILIZAR BDI C/ DESONERAÇÃO","")</f>
        <v/>
      </c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09"/>
      <c r="AO54" s="509"/>
      <c r="AP54" s="509"/>
      <c r="AQ54" s="509"/>
      <c r="AR54" s="509"/>
      <c r="AS54" s="509"/>
      <c r="AT54" s="509"/>
      <c r="AU54" s="509"/>
      <c r="AV54" s="509"/>
    </row>
    <row r="55" spans="1:48" hidden="1">
      <c r="A55" s="466"/>
      <c r="B55" s="505"/>
      <c r="C55" s="506"/>
      <c r="D55" s="506"/>
      <c r="E55" s="506"/>
      <c r="F55" s="471"/>
      <c r="G55" s="468"/>
      <c r="H55" s="435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09"/>
      <c r="AN55" s="509"/>
      <c r="AO55" s="509"/>
      <c r="AP55" s="509"/>
      <c r="AQ55" s="509"/>
      <c r="AR55" s="509"/>
      <c r="AS55" s="509"/>
      <c r="AT55" s="509"/>
      <c r="AU55" s="509"/>
      <c r="AV55" s="509"/>
    </row>
    <row r="56" spans="1:48" ht="26.25" hidden="1">
      <c r="A56" s="466"/>
      <c r="B56" s="510" t="s">
        <v>134</v>
      </c>
      <c r="C56" s="480">
        <v>4.4999999999999998E-2</v>
      </c>
      <c r="D56" s="736" t="s">
        <v>116</v>
      </c>
      <c r="E56" s="736"/>
      <c r="F56" s="483">
        <f>+F26+C56</f>
        <v>0.114495</v>
      </c>
      <c r="G56" s="468"/>
      <c r="H56" s="435"/>
      <c r="I56" s="500">
        <f>TRUNC(F56,5)</f>
        <v>0.11448999999999999</v>
      </c>
      <c r="K56" s="509"/>
      <c r="L56" s="509"/>
      <c r="M56" s="509"/>
      <c r="N56" s="509"/>
      <c r="O56" s="509"/>
      <c r="P56" s="509"/>
      <c r="Q56" s="509"/>
      <c r="R56" s="509"/>
      <c r="S56" s="509"/>
      <c r="T56" s="509"/>
      <c r="U56" s="509"/>
      <c r="V56" s="509"/>
      <c r="W56" s="509"/>
      <c r="X56" s="509"/>
      <c r="Y56" s="509"/>
      <c r="Z56" s="509"/>
      <c r="AA56" s="509"/>
      <c r="AB56" s="509"/>
      <c r="AC56" s="509"/>
      <c r="AD56" s="509"/>
      <c r="AE56" s="509"/>
      <c r="AF56" s="509"/>
      <c r="AG56" s="509"/>
      <c r="AH56" s="509"/>
      <c r="AI56" s="509"/>
      <c r="AJ56" s="509"/>
      <c r="AK56" s="509"/>
      <c r="AL56" s="509"/>
      <c r="AM56" s="509"/>
      <c r="AN56" s="509"/>
      <c r="AO56" s="509"/>
      <c r="AP56" s="509"/>
      <c r="AQ56" s="509"/>
      <c r="AR56" s="509"/>
      <c r="AS56" s="509"/>
      <c r="AT56" s="509"/>
      <c r="AU56" s="509"/>
      <c r="AV56" s="509"/>
    </row>
    <row r="57" spans="1:48" ht="13.5" hidden="1" thickBot="1">
      <c r="A57" s="511"/>
      <c r="B57" s="512"/>
      <c r="C57" s="513"/>
      <c r="D57" s="513"/>
      <c r="E57" s="513"/>
      <c r="F57" s="514"/>
      <c r="G57" s="515"/>
      <c r="H57" s="435"/>
    </row>
    <row r="61" spans="1:48">
      <c r="I61" s="516"/>
      <c r="J61" s="516"/>
      <c r="K61" s="516"/>
    </row>
    <row r="62" spans="1:48">
      <c r="I62" s="517"/>
    </row>
    <row r="63" spans="1:48">
      <c r="I63" s="518"/>
    </row>
    <row r="64" spans="1:48">
      <c r="I64" s="518"/>
    </row>
    <row r="65" spans="9:9">
      <c r="I65" s="519"/>
    </row>
    <row r="66" spans="9:9">
      <c r="I66" s="518"/>
    </row>
    <row r="67" spans="9:9">
      <c r="I67" s="518"/>
    </row>
    <row r="68" spans="9:9">
      <c r="I68" s="518"/>
    </row>
    <row r="69" spans="9:9">
      <c r="I69" s="518"/>
    </row>
    <row r="70" spans="9:9">
      <c r="I70" s="518"/>
    </row>
    <row r="73" spans="9:9">
      <c r="I73" s="516"/>
    </row>
    <row r="74" spans="9:9">
      <c r="I74" s="484"/>
    </row>
    <row r="75" spans="9:9">
      <c r="I75" s="484"/>
    </row>
    <row r="76" spans="9:9">
      <c r="I76" s="484"/>
    </row>
    <row r="77" spans="9:9">
      <c r="I77" s="484"/>
    </row>
    <row r="78" spans="9:9">
      <c r="I78" s="484"/>
    </row>
    <row r="79" spans="9:9">
      <c r="I79" s="484"/>
    </row>
    <row r="80" spans="9:9">
      <c r="I80" s="484"/>
    </row>
    <row r="81" spans="9:15">
      <c r="I81" s="484"/>
    </row>
    <row r="82" spans="9:15">
      <c r="I82" s="484"/>
    </row>
    <row r="83" spans="9:15">
      <c r="I83" s="520"/>
    </row>
    <row r="84" spans="9:15">
      <c r="I84" s="520"/>
    </row>
    <row r="85" spans="9:15">
      <c r="I85" s="520"/>
    </row>
    <row r="89" spans="9:15">
      <c r="N89" s="484"/>
      <c r="O89" s="495"/>
    </row>
    <row r="90" spans="9:15">
      <c r="N90" s="484"/>
      <c r="O90" s="495"/>
    </row>
    <row r="91" spans="9:15">
      <c r="N91" s="484"/>
      <c r="O91" s="495"/>
    </row>
    <row r="92" spans="9:15">
      <c r="N92" s="484"/>
      <c r="O92" s="495"/>
    </row>
    <row r="93" spans="9:15">
      <c r="N93" s="484"/>
      <c r="O93" s="495"/>
    </row>
    <row r="94" spans="9:15">
      <c r="N94" s="484"/>
      <c r="O94" s="495"/>
    </row>
    <row r="95" spans="9:15">
      <c r="N95" s="484"/>
      <c r="O95" s="495"/>
    </row>
    <row r="96" spans="9:15">
      <c r="N96" s="484"/>
      <c r="O96" s="495"/>
    </row>
    <row r="97" spans="14:15">
      <c r="N97" s="484"/>
      <c r="O97" s="495"/>
    </row>
    <row r="98" spans="14:15">
      <c r="N98" s="484"/>
      <c r="O98" s="495"/>
    </row>
    <row r="99" spans="14:15">
      <c r="N99" s="484"/>
      <c r="O99" s="495"/>
    </row>
    <row r="100" spans="14:15">
      <c r="N100" s="484"/>
    </row>
    <row r="101" spans="14:15">
      <c r="N101" s="484"/>
    </row>
    <row r="102" spans="14:15">
      <c r="N102" s="484"/>
    </row>
    <row r="103" spans="14:15">
      <c r="N103" s="484"/>
    </row>
    <row r="254" spans="72:76" ht="13.5" thickBot="1"/>
    <row r="255" spans="72:76">
      <c r="BT255" s="745" t="s">
        <v>135</v>
      </c>
      <c r="BU255" s="746"/>
      <c r="BV255" s="746"/>
      <c r="BW255" s="746"/>
      <c r="BX255" s="747"/>
    </row>
    <row r="256" spans="72:76">
      <c r="BT256" s="521"/>
      <c r="BU256" s="435" t="s">
        <v>136</v>
      </c>
      <c r="BV256" s="435" t="s">
        <v>137</v>
      </c>
      <c r="BW256" s="435" t="s">
        <v>138</v>
      </c>
      <c r="BX256" s="522"/>
    </row>
    <row r="257" spans="72:87">
      <c r="BT257" s="523">
        <v>100</v>
      </c>
      <c r="BU257" s="524" t="s">
        <v>139</v>
      </c>
      <c r="BV257" s="525">
        <f t="shared" ref="BV257:BV262" si="1">+BT257</f>
        <v>100</v>
      </c>
      <c r="BW257" s="526" t="s">
        <v>140</v>
      </c>
      <c r="BX257" s="522"/>
    </row>
    <row r="258" spans="72:87">
      <c r="BT258" s="523">
        <v>200</v>
      </c>
      <c r="BU258" s="524" t="s">
        <v>141</v>
      </c>
      <c r="BV258" s="525">
        <f t="shared" si="1"/>
        <v>200</v>
      </c>
      <c r="BW258" s="526" t="s">
        <v>142</v>
      </c>
      <c r="BX258" s="522"/>
    </row>
    <row r="259" spans="72:87" ht="60">
      <c r="BT259" s="523">
        <v>300</v>
      </c>
      <c r="BU259" s="527" t="s">
        <v>143</v>
      </c>
      <c r="BV259" s="525">
        <f t="shared" si="1"/>
        <v>300</v>
      </c>
      <c r="BW259" s="526" t="s">
        <v>144</v>
      </c>
      <c r="BX259" s="522"/>
    </row>
    <row r="260" spans="72:87" ht="45">
      <c r="BT260" s="523">
        <v>400</v>
      </c>
      <c r="BU260" s="527" t="s">
        <v>106</v>
      </c>
      <c r="BV260" s="525">
        <f t="shared" si="1"/>
        <v>400</v>
      </c>
      <c r="BW260" s="526" t="s">
        <v>145</v>
      </c>
      <c r="BX260" s="522"/>
    </row>
    <row r="261" spans="72:87">
      <c r="BT261" s="523">
        <v>500</v>
      </c>
      <c r="BU261" s="524" t="s">
        <v>146</v>
      </c>
      <c r="BV261" s="525">
        <f t="shared" si="1"/>
        <v>500</v>
      </c>
      <c r="BW261" s="526" t="s">
        <v>147</v>
      </c>
      <c r="BX261" s="522"/>
    </row>
    <row r="262" spans="72:87" ht="25.5">
      <c r="BT262" s="523">
        <v>600</v>
      </c>
      <c r="BU262" s="524" t="s">
        <v>148</v>
      </c>
      <c r="BV262" s="525">
        <f t="shared" si="1"/>
        <v>600</v>
      </c>
      <c r="BW262" s="526" t="s">
        <v>149</v>
      </c>
      <c r="BX262" s="522"/>
    </row>
    <row r="263" spans="72:87">
      <c r="BT263" s="523"/>
      <c r="BU263" s="525"/>
      <c r="BV263" s="525"/>
      <c r="BW263" s="526"/>
      <c r="BX263" s="522"/>
    </row>
    <row r="264" spans="72:87">
      <c r="BT264" s="528"/>
      <c r="BU264" s="526"/>
      <c r="BV264" s="526"/>
      <c r="BW264" s="526"/>
      <c r="BX264" s="522"/>
    </row>
    <row r="265" spans="72:87">
      <c r="BT265" s="528"/>
      <c r="BU265" s="526"/>
      <c r="BV265" s="526"/>
      <c r="BW265" s="526"/>
      <c r="BX265" s="522"/>
      <c r="CF265" s="455" t="s">
        <v>31</v>
      </c>
      <c r="CG265" s="455" t="s">
        <v>150</v>
      </c>
      <c r="CH265" s="455" t="s">
        <v>151</v>
      </c>
    </row>
    <row r="266" spans="72:87">
      <c r="BT266" s="521"/>
      <c r="BU266" s="435"/>
      <c r="BV266" s="435"/>
      <c r="BW266" s="435"/>
      <c r="BX266" s="522"/>
      <c r="CE266" s="455" t="s">
        <v>152</v>
      </c>
      <c r="CF266" s="495">
        <v>6.4999999999999997E-3</v>
      </c>
      <c r="CG266" s="529">
        <v>0.03</v>
      </c>
      <c r="CH266" s="455" t="s">
        <v>153</v>
      </c>
      <c r="CI266" s="495" t="e">
        <f>(#REF!+#REF!)+C24</f>
        <v>#REF!</v>
      </c>
    </row>
    <row r="267" spans="72:87">
      <c r="BT267" s="521"/>
      <c r="BU267" s="435"/>
      <c r="BV267" s="435"/>
      <c r="BW267" s="435"/>
      <c r="BX267" s="522"/>
      <c r="CF267" s="495">
        <v>1.6500000000000001E-2</v>
      </c>
      <c r="CG267" s="495">
        <v>7.5999999999999998E-2</v>
      </c>
      <c r="CH267" s="455" t="s">
        <v>154</v>
      </c>
      <c r="CI267" s="495" t="e">
        <f>(#REF!+#REF!)*#REF!+C24</f>
        <v>#REF!</v>
      </c>
    </row>
    <row r="268" spans="72:87">
      <c r="BT268" s="521"/>
      <c r="BU268" s="435"/>
      <c r="BV268" s="435"/>
      <c r="BW268" s="435"/>
      <c r="BX268" s="522"/>
    </row>
    <row r="269" spans="72:87">
      <c r="BT269" s="530"/>
      <c r="BU269" s="531"/>
      <c r="BV269" s="531"/>
      <c r="BW269" s="435"/>
      <c r="BX269" s="522"/>
    </row>
    <row r="270" spans="72:87">
      <c r="BT270" s="521"/>
      <c r="BU270" s="435"/>
      <c r="BV270" s="435"/>
      <c r="BW270" s="435"/>
      <c r="BX270" s="522"/>
    </row>
    <row r="271" spans="72:87" ht="13.5" thickBot="1">
      <c r="BT271" s="521"/>
      <c r="BU271" s="435"/>
      <c r="BV271" s="435"/>
      <c r="BW271" s="435"/>
      <c r="BX271" s="522"/>
      <c r="CD271" s="455">
        <f>BT257</f>
        <v>100</v>
      </c>
      <c r="CE271" s="748" t="str">
        <f>BU257</f>
        <v>Construção de edificios</v>
      </c>
      <c r="CF271" s="748"/>
      <c r="CG271" s="748"/>
      <c r="CH271" s="748"/>
    </row>
    <row r="272" spans="72:87" ht="15.75" thickBot="1">
      <c r="BT272" s="521"/>
      <c r="BU272" s="435"/>
      <c r="BV272" s="435"/>
      <c r="BW272" s="435"/>
      <c r="BX272" s="522"/>
      <c r="CD272" s="455">
        <f>+CD271+1</f>
        <v>101</v>
      </c>
      <c r="CE272" s="532" t="s">
        <v>125</v>
      </c>
      <c r="CF272" s="533">
        <v>0.03</v>
      </c>
      <c r="CG272" s="533">
        <v>0.04</v>
      </c>
      <c r="CH272" s="533">
        <v>5.5E-2</v>
      </c>
    </row>
    <row r="273" spans="72:86" ht="15.75" thickBot="1">
      <c r="BT273" s="521"/>
      <c r="BU273" s="435"/>
      <c r="BV273" s="435"/>
      <c r="BW273" s="435"/>
      <c r="BX273" s="522"/>
      <c r="CD273" s="455">
        <f>+CD272+1</f>
        <v>102</v>
      </c>
      <c r="CE273" s="532" t="s">
        <v>126</v>
      </c>
      <c r="CF273" s="533">
        <v>8.0000000000000002E-3</v>
      </c>
      <c r="CG273" s="533">
        <v>8.0000000000000002E-3</v>
      </c>
      <c r="CH273" s="533">
        <v>0.01</v>
      </c>
    </row>
    <row r="274" spans="72:86" ht="15.75" thickBot="1">
      <c r="BT274" s="521"/>
      <c r="BU274" s="435"/>
      <c r="BV274" s="435"/>
      <c r="BW274" s="435"/>
      <c r="BX274" s="522"/>
      <c r="CD274" s="455">
        <f>+CD273+1</f>
        <v>103</v>
      </c>
      <c r="CE274" s="532" t="s">
        <v>30</v>
      </c>
      <c r="CF274" s="533">
        <v>9.7000000000000003E-3</v>
      </c>
      <c r="CG274" s="533">
        <v>1.2699999999999999E-2</v>
      </c>
      <c r="CH274" s="533">
        <v>1.2699999999999999E-2</v>
      </c>
    </row>
    <row r="275" spans="72:86" ht="15.75" thickBot="1">
      <c r="BT275" s="530"/>
      <c r="BU275" s="531"/>
      <c r="BV275" s="531"/>
      <c r="BW275" s="435"/>
      <c r="BX275" s="522"/>
      <c r="CD275" s="455">
        <f>+CD274+1</f>
        <v>104</v>
      </c>
      <c r="CE275" s="532" t="s">
        <v>127</v>
      </c>
      <c r="CF275" s="533">
        <v>5.8999999999999999E-3</v>
      </c>
      <c r="CG275" s="533">
        <v>1.23E-2</v>
      </c>
      <c r="CH275" s="533">
        <v>1.3899999999999999E-2</v>
      </c>
    </row>
    <row r="276" spans="72:86" ht="15.75" thickBot="1">
      <c r="BT276" s="521"/>
      <c r="BU276" s="435"/>
      <c r="BV276" s="435"/>
      <c r="BW276" s="435"/>
      <c r="BX276" s="522"/>
      <c r="CD276" s="455">
        <f>+CD275+1</f>
        <v>105</v>
      </c>
      <c r="CE276" s="532" t="s">
        <v>128</v>
      </c>
      <c r="CF276" s="533">
        <v>6.1600000000000002E-2</v>
      </c>
      <c r="CG276" s="533">
        <v>7.3999999999999996E-2</v>
      </c>
      <c r="CH276" s="533">
        <v>8.9599999999999999E-2</v>
      </c>
    </row>
    <row r="277" spans="72:86">
      <c r="BT277" s="521"/>
      <c r="BU277" s="435"/>
      <c r="BV277" s="435"/>
      <c r="BW277" s="435"/>
      <c r="BX277" s="522"/>
    </row>
    <row r="278" spans="72:86">
      <c r="BT278" s="521"/>
      <c r="BU278" s="435"/>
      <c r="BV278" s="435"/>
      <c r="BW278" s="435"/>
      <c r="BX278" s="522"/>
    </row>
    <row r="279" spans="72:86" ht="13.5" thickBot="1">
      <c r="BT279" s="521"/>
      <c r="BU279" s="435"/>
      <c r="BV279" s="435"/>
      <c r="BW279" s="435"/>
      <c r="BX279" s="522"/>
      <c r="CD279" s="455">
        <f>BT258</f>
        <v>200</v>
      </c>
      <c r="CE279" s="748" t="str">
        <f>BU258</f>
        <v>Construção de rodovias e ferrovias</v>
      </c>
      <c r="CF279" s="748"/>
      <c r="CG279" s="748"/>
      <c r="CH279" s="748"/>
    </row>
    <row r="280" spans="72:86" ht="15.75" thickBot="1">
      <c r="BT280" s="521"/>
      <c r="BU280" s="435"/>
      <c r="BV280" s="435"/>
      <c r="BW280" s="435"/>
      <c r="BX280" s="522"/>
      <c r="CD280" s="455">
        <f>+CD279+1</f>
        <v>201</v>
      </c>
      <c r="CE280" s="532" t="s">
        <v>125</v>
      </c>
      <c r="CF280" s="533">
        <v>3.7999999999999999E-2</v>
      </c>
      <c r="CG280" s="533">
        <v>4.0099999999999997E-2</v>
      </c>
      <c r="CH280" s="533">
        <v>4.6699999999999998E-2</v>
      </c>
    </row>
    <row r="281" spans="72:86" ht="15.75" thickBot="1">
      <c r="BT281" s="521"/>
      <c r="BU281" s="435"/>
      <c r="BV281" s="435"/>
      <c r="BW281" s="435"/>
      <c r="BX281" s="522"/>
      <c r="CD281" s="455">
        <f>+CD280+1</f>
        <v>202</v>
      </c>
      <c r="CE281" s="532" t="s">
        <v>126</v>
      </c>
      <c r="CF281" s="533">
        <v>3.2000000000000002E-3</v>
      </c>
      <c r="CG281" s="533">
        <v>4.0000000000000001E-3</v>
      </c>
      <c r="CH281" s="533">
        <v>7.4000000000000003E-3</v>
      </c>
    </row>
    <row r="282" spans="72:86" ht="15.75" thickBot="1">
      <c r="BT282" s="745"/>
      <c r="BU282" s="746"/>
      <c r="BV282" s="746"/>
      <c r="BW282" s="746"/>
      <c r="BX282" s="747"/>
      <c r="CD282" s="455">
        <f>+CD281+1</f>
        <v>203</v>
      </c>
      <c r="CE282" s="532" t="s">
        <v>30</v>
      </c>
      <c r="CF282" s="533">
        <v>5.0000000000000001E-3</v>
      </c>
      <c r="CG282" s="533">
        <v>5.5999999999999999E-3</v>
      </c>
      <c r="CH282" s="533">
        <v>9.7000000000000003E-3</v>
      </c>
    </row>
    <row r="283" spans="72:86" ht="15.75" thickBot="1">
      <c r="BT283" s="521"/>
      <c r="BU283" s="435"/>
      <c r="BV283" s="435"/>
      <c r="BW283" s="435"/>
      <c r="BX283" s="522"/>
      <c r="CD283" s="455">
        <f>+CD282+1</f>
        <v>204</v>
      </c>
      <c r="CE283" s="532" t="s">
        <v>127</v>
      </c>
      <c r="CF283" s="533">
        <v>1.0200000000000001E-2</v>
      </c>
      <c r="CG283" s="533">
        <v>1.11E-2</v>
      </c>
      <c r="CH283" s="533">
        <v>1.21E-2</v>
      </c>
    </row>
    <row r="284" spans="72:86" ht="15.75" thickBot="1">
      <c r="BT284" s="521"/>
      <c r="BU284" s="435"/>
      <c r="BV284" s="435"/>
      <c r="BW284" s="435"/>
      <c r="BX284" s="522"/>
      <c r="CD284" s="455">
        <f>+CD283+1</f>
        <v>205</v>
      </c>
      <c r="CE284" s="532" t="s">
        <v>128</v>
      </c>
      <c r="CF284" s="533">
        <v>6.6400000000000001E-2</v>
      </c>
      <c r="CG284" s="533">
        <v>7.2999999999999995E-2</v>
      </c>
      <c r="CH284" s="533">
        <v>8.6900000000000005E-2</v>
      </c>
    </row>
    <row r="285" spans="72:86">
      <c r="BT285" s="521"/>
      <c r="BU285" s="435"/>
      <c r="BV285" s="435"/>
      <c r="BW285" s="435"/>
      <c r="BX285" s="522"/>
    </row>
    <row r="286" spans="72:86" ht="13.5" thickBot="1">
      <c r="BT286" s="534"/>
      <c r="BU286" s="535"/>
      <c r="BV286" s="535"/>
      <c r="BW286" s="535"/>
      <c r="BX286" s="536"/>
    </row>
    <row r="287" spans="72:86" ht="13.5" thickBot="1">
      <c r="BT287" s="745"/>
      <c r="BU287" s="746"/>
      <c r="BV287" s="746"/>
      <c r="BW287" s="746"/>
      <c r="BX287" s="747"/>
      <c r="CD287" s="455">
        <f>BT259</f>
        <v>300</v>
      </c>
      <c r="CE287" s="748" t="str">
        <f>BU259</f>
        <v>Construção de Redes de Abastecimento de Água, Coleta de Esgoto e Construções Correlatas</v>
      </c>
      <c r="CF287" s="748"/>
      <c r="CG287" s="748"/>
      <c r="CH287" s="748"/>
    </row>
    <row r="288" spans="72:86" ht="15.75" thickBot="1">
      <c r="BT288" s="749"/>
      <c r="BU288" s="750"/>
      <c r="BV288" s="750"/>
      <c r="BW288" s="750"/>
      <c r="BX288" s="751"/>
      <c r="CD288" s="455">
        <f>+CD287+1</f>
        <v>301</v>
      </c>
      <c r="CE288" s="537" t="s">
        <v>125</v>
      </c>
      <c r="CF288" s="538">
        <v>3.4299999999999997E-2</v>
      </c>
      <c r="CG288" s="538">
        <v>4.9299999999999997E-2</v>
      </c>
      <c r="CH288" s="538">
        <v>6.7100000000000007E-2</v>
      </c>
    </row>
    <row r="289" spans="72:86" ht="15.75" thickBot="1">
      <c r="BT289" s="749"/>
      <c r="BU289" s="750"/>
      <c r="BV289" s="750"/>
      <c r="BW289" s="750"/>
      <c r="BX289" s="751"/>
      <c r="CD289" s="455">
        <f>+CD288+1</f>
        <v>302</v>
      </c>
      <c r="CE289" s="532" t="s">
        <v>126</v>
      </c>
      <c r="CF289" s="533">
        <v>2.8E-3</v>
      </c>
      <c r="CG289" s="533">
        <v>4.8999999999999998E-3</v>
      </c>
      <c r="CH289" s="533">
        <v>7.4999999999999997E-3</v>
      </c>
    </row>
    <row r="290" spans="72:86" ht="15.75" thickBot="1">
      <c r="BT290" s="539"/>
      <c r="BU290" s="540"/>
      <c r="BV290" s="541"/>
      <c r="BW290" s="541"/>
      <c r="BX290" s="542"/>
      <c r="CD290" s="455">
        <f>+CD289+1</f>
        <v>303</v>
      </c>
      <c r="CE290" s="532" t="s">
        <v>30</v>
      </c>
      <c r="CF290" s="533">
        <v>0.01</v>
      </c>
      <c r="CG290" s="533">
        <v>1.3899999999999999E-2</v>
      </c>
      <c r="CH290" s="533">
        <v>1.7399999999999999E-2</v>
      </c>
    </row>
    <row r="291" spans="72:86" ht="15.75" thickBot="1">
      <c r="BT291" s="521"/>
      <c r="BU291" s="435"/>
      <c r="BV291" s="435"/>
      <c r="BW291" s="435"/>
      <c r="BX291" s="522"/>
      <c r="CD291" s="455">
        <f>+CD290+1</f>
        <v>304</v>
      </c>
      <c r="CE291" s="532" t="s">
        <v>127</v>
      </c>
      <c r="CF291" s="533">
        <v>9.4000000000000004E-3</v>
      </c>
      <c r="CG291" s="533">
        <v>9.9000000000000008E-3</v>
      </c>
      <c r="CH291" s="533">
        <v>1.17E-2</v>
      </c>
    </row>
    <row r="292" spans="72:86" ht="15.75" thickBot="1">
      <c r="BT292" s="534"/>
      <c r="BU292" s="535"/>
      <c r="BV292" s="535"/>
      <c r="BW292" s="535"/>
      <c r="BX292" s="536"/>
      <c r="CD292" s="455">
        <f>+CD291+1</f>
        <v>305</v>
      </c>
      <c r="CE292" s="532" t="s">
        <v>128</v>
      </c>
      <c r="CF292" s="533">
        <v>6.7400000000000002E-2</v>
      </c>
      <c r="CG292" s="533">
        <v>8.0399999999999999E-2</v>
      </c>
      <c r="CH292" s="533">
        <v>9.4E-2</v>
      </c>
    </row>
    <row r="293" spans="72:86">
      <c r="BT293" s="745"/>
      <c r="BU293" s="746"/>
      <c r="BV293" s="746"/>
      <c r="BW293" s="746"/>
      <c r="BX293" s="747"/>
    </row>
    <row r="294" spans="72:86" ht="13.5" thickBot="1">
      <c r="BT294" s="449"/>
      <c r="BU294" s="450" t="s">
        <v>155</v>
      </c>
      <c r="BV294" s="450" t="s">
        <v>156</v>
      </c>
      <c r="BW294" s="450" t="s">
        <v>157</v>
      </c>
      <c r="BX294" s="450" t="s">
        <v>158</v>
      </c>
      <c r="CD294" s="455">
        <f>BT260</f>
        <v>400</v>
      </c>
      <c r="CE294" s="748" t="str">
        <f>BU260</f>
        <v>Construção e Manutenção de Estações e Redes de Distribuição de Energia Elétrica</v>
      </c>
      <c r="CF294" s="748"/>
      <c r="CG294" s="748"/>
      <c r="CH294" s="748"/>
    </row>
    <row r="295" spans="72:86" ht="15.75" thickBot="1">
      <c r="BT295" s="449" t="s">
        <v>159</v>
      </c>
      <c r="BU295" s="450">
        <f>VLOOKUP(C9,BU257:BV262,2,0)</f>
        <v>400</v>
      </c>
      <c r="BV295" s="543">
        <f>VLOOKUP($BU295,$BT$306:$BX$311,3,0)</f>
        <v>0.24</v>
      </c>
      <c r="BW295" s="543">
        <f>VLOOKUP($BU295,$BT$306:$BX$311,4,0)</f>
        <v>0.25840000000000002</v>
      </c>
      <c r="BX295" s="543">
        <f>VLOOKUP($BU295,$BT$306:$BX$311,5,0)</f>
        <v>0.27860000000000001</v>
      </c>
      <c r="CD295" s="455">
        <f>+CD294+1</f>
        <v>401</v>
      </c>
      <c r="CE295" s="537" t="s">
        <v>125</v>
      </c>
      <c r="CF295" s="538">
        <v>5.2900000000000003E-2</v>
      </c>
      <c r="CG295" s="538">
        <v>5.9200000000000003E-2</v>
      </c>
      <c r="CH295" s="538">
        <v>7.9299999999999995E-2</v>
      </c>
    </row>
    <row r="296" spans="72:86" ht="15.75" thickBot="1">
      <c r="BT296" s="544" t="s">
        <v>125</v>
      </c>
      <c r="BU296" s="450">
        <f>+BU295+1</f>
        <v>401</v>
      </c>
      <c r="BV296" s="543">
        <f>VLOOKUP($BU296,$CD$271:$CH$312,3,0)</f>
        <v>5.2900000000000003E-2</v>
      </c>
      <c r="BW296" s="543">
        <f>VLOOKUP($BU296,$CD$271:$CH$312,4,0)</f>
        <v>5.9200000000000003E-2</v>
      </c>
      <c r="BX296" s="543">
        <f>VLOOKUP($BU296,$CD$271:$CH$312,5,0)</f>
        <v>7.9299999999999995E-2</v>
      </c>
      <c r="CD296" s="455">
        <f>+CD295+1</f>
        <v>402</v>
      </c>
      <c r="CE296" s="532" t="s">
        <v>126</v>
      </c>
      <c r="CF296" s="533">
        <v>2.5000000000000001E-3</v>
      </c>
      <c r="CG296" s="533">
        <v>5.1000000000000004E-3</v>
      </c>
      <c r="CH296" s="533">
        <v>5.5999999999999999E-3</v>
      </c>
    </row>
    <row r="297" spans="72:86" ht="15.75" thickBot="1">
      <c r="BT297" s="544" t="s">
        <v>126</v>
      </c>
      <c r="BU297" s="450">
        <f>+BU296+1</f>
        <v>402</v>
      </c>
      <c r="BV297" s="543">
        <f>VLOOKUP($BU297,$CD$271:$CH$312,3,0)</f>
        <v>2.5000000000000001E-3</v>
      </c>
      <c r="BW297" s="543">
        <f>VLOOKUP($BU297,$CD$271:$CH$312,4,0)</f>
        <v>5.1000000000000004E-3</v>
      </c>
      <c r="BX297" s="543">
        <f>VLOOKUP($BU297,$CD$271:$CH$312,5,0)</f>
        <v>5.5999999999999999E-3</v>
      </c>
      <c r="CD297" s="455">
        <f>+CD296+1</f>
        <v>403</v>
      </c>
      <c r="CE297" s="532" t="s">
        <v>30</v>
      </c>
      <c r="CF297" s="533">
        <v>0.01</v>
      </c>
      <c r="CG297" s="533">
        <v>1.4800000000000001E-2</v>
      </c>
      <c r="CH297" s="533">
        <v>1.9699999999999999E-2</v>
      </c>
    </row>
    <row r="298" spans="72:86" ht="15.75" thickBot="1">
      <c r="BT298" s="544" t="s">
        <v>30</v>
      </c>
      <c r="BU298" s="450">
        <f>+BU297+1</f>
        <v>403</v>
      </c>
      <c r="BV298" s="543">
        <f>VLOOKUP($BU298,$CD$271:$CH$312,3,0)</f>
        <v>0.01</v>
      </c>
      <c r="BW298" s="543">
        <f>VLOOKUP($BU298,$CD$271:$CH$312,4,0)</f>
        <v>1.4800000000000001E-2</v>
      </c>
      <c r="BX298" s="543">
        <f>VLOOKUP($BU298,$CD$271:$CH$312,5,0)</f>
        <v>1.9699999999999999E-2</v>
      </c>
      <c r="CD298" s="455">
        <f>+CD297+1</f>
        <v>404</v>
      </c>
      <c r="CE298" s="532" t="s">
        <v>127</v>
      </c>
      <c r="CF298" s="533">
        <v>1.01E-2</v>
      </c>
      <c r="CG298" s="533">
        <v>1.0699999999999999E-2</v>
      </c>
      <c r="CH298" s="533">
        <v>1.11E-2</v>
      </c>
    </row>
    <row r="299" spans="72:86" ht="15.75" thickBot="1">
      <c r="BT299" s="544" t="s">
        <v>127</v>
      </c>
      <c r="BU299" s="450">
        <f>+BU298+1</f>
        <v>404</v>
      </c>
      <c r="BV299" s="543">
        <f>VLOOKUP($BU299,$CD$271:$CH$312,3,0)</f>
        <v>1.01E-2</v>
      </c>
      <c r="BW299" s="543">
        <f>VLOOKUP($BU299,$CD$271:$CH$312,4,0)</f>
        <v>1.0699999999999999E-2</v>
      </c>
      <c r="BX299" s="543">
        <f>VLOOKUP($BU299,$CD$271:$CH$312,5,0)</f>
        <v>1.11E-2</v>
      </c>
      <c r="CD299" s="455">
        <f>+CD298+1</f>
        <v>405</v>
      </c>
      <c r="CE299" s="532" t="s">
        <v>128</v>
      </c>
      <c r="CF299" s="533">
        <v>0.08</v>
      </c>
      <c r="CG299" s="533">
        <v>8.3099999999999993E-2</v>
      </c>
      <c r="CH299" s="533">
        <v>9.5100000000000004E-2</v>
      </c>
    </row>
    <row r="300" spans="72:86" ht="15.75" thickBot="1">
      <c r="BT300" s="544" t="s">
        <v>128</v>
      </c>
      <c r="BU300" s="450">
        <f>+BU299+1</f>
        <v>405</v>
      </c>
      <c r="BV300" s="543">
        <f>VLOOKUP($BU300,$CD$271:$CH$312,3,0)</f>
        <v>0.08</v>
      </c>
      <c r="BW300" s="543">
        <f>VLOOKUP($BU300,$CD$271:$CH$312,4,0)</f>
        <v>8.3099999999999993E-2</v>
      </c>
      <c r="BX300" s="543">
        <f>VLOOKUP($BU300,$CD$271:$CH$312,5,0)</f>
        <v>9.5100000000000004E-2</v>
      </c>
      <c r="CD300" s="455">
        <f>BT261</f>
        <v>500</v>
      </c>
      <c r="CE300" s="748" t="str">
        <f>BU261</f>
        <v>Portuárias, Marítimas e Fluviais</v>
      </c>
      <c r="CF300" s="748"/>
      <c r="CG300" s="748"/>
      <c r="CH300" s="748"/>
    </row>
    <row r="301" spans="72:86" ht="15.75" thickBot="1">
      <c r="BT301" s="521"/>
      <c r="BU301" s="435"/>
      <c r="BV301" s="435"/>
      <c r="BW301" s="435"/>
      <c r="BX301" s="522"/>
      <c r="CD301" s="455">
        <f>+CD300+1</f>
        <v>501</v>
      </c>
      <c r="CE301" s="537" t="s">
        <v>125</v>
      </c>
      <c r="CF301" s="538">
        <v>0.04</v>
      </c>
      <c r="CG301" s="538">
        <v>5.5199999999999999E-2</v>
      </c>
      <c r="CH301" s="538">
        <v>7.85E-2</v>
      </c>
    </row>
    <row r="302" spans="72:86" ht="15.75" thickBot="1">
      <c r="CD302" s="455">
        <f>+CD301+1</f>
        <v>502</v>
      </c>
      <c r="CE302" s="532" t="s">
        <v>126</v>
      </c>
      <c r="CF302" s="533">
        <v>8.0999999999999996E-3</v>
      </c>
      <c r="CG302" s="533">
        <v>1.2200000000000001E-2</v>
      </c>
      <c r="CH302" s="533">
        <v>1.9900000000000001E-2</v>
      </c>
    </row>
    <row r="303" spans="72:86" ht="15.75" thickBot="1">
      <c r="CD303" s="455">
        <f>+CD302+1</f>
        <v>503</v>
      </c>
      <c r="CE303" s="532" t="s">
        <v>30</v>
      </c>
      <c r="CF303" s="533">
        <v>1.46E-2</v>
      </c>
      <c r="CG303" s="533">
        <v>2.3199999999999998E-2</v>
      </c>
      <c r="CH303" s="533">
        <v>3.1600000000000003E-2</v>
      </c>
    </row>
    <row r="304" spans="72:86" ht="15.75" thickBot="1">
      <c r="CD304" s="455">
        <f>+CD303+1</f>
        <v>504</v>
      </c>
      <c r="CE304" s="532" t="s">
        <v>127</v>
      </c>
      <c r="CF304" s="533">
        <v>9.4000000000000004E-3</v>
      </c>
      <c r="CG304" s="533">
        <v>1.0200000000000001E-2</v>
      </c>
      <c r="CH304" s="533">
        <v>1.3299999999999999E-2</v>
      </c>
    </row>
    <row r="305" spans="72:86" ht="15.75" thickBot="1">
      <c r="BV305" s="545" t="s">
        <v>160</v>
      </c>
      <c r="BW305" s="546" t="s">
        <v>157</v>
      </c>
      <c r="BX305" s="546" t="s">
        <v>161</v>
      </c>
      <c r="CD305" s="455">
        <f>+CD304+1</f>
        <v>505</v>
      </c>
      <c r="CE305" s="532" t="s">
        <v>128</v>
      </c>
      <c r="CF305" s="533">
        <v>7.1400000000000005E-2</v>
      </c>
      <c r="CG305" s="533">
        <v>8.4000000000000005E-2</v>
      </c>
      <c r="CH305" s="533">
        <v>0.1043</v>
      </c>
    </row>
    <row r="306" spans="72:86" ht="15.75" thickBot="1">
      <c r="BT306" s="455">
        <f>BT257</f>
        <v>100</v>
      </c>
      <c r="BU306" s="537" t="str">
        <f t="shared" ref="BU306:BU311" si="2">VLOOKUP(BT306,BT257:BU262,2,0)</f>
        <v>Construção de edificios</v>
      </c>
      <c r="BV306" s="538">
        <v>0.2034</v>
      </c>
      <c r="BW306" s="538">
        <v>0.22120000000000001</v>
      </c>
      <c r="BX306" s="538">
        <v>0.25</v>
      </c>
    </row>
    <row r="307" spans="72:86" ht="30.75" thickBot="1">
      <c r="BT307" s="455">
        <v>200</v>
      </c>
      <c r="BU307" s="537" t="str">
        <f t="shared" si="2"/>
        <v>Construção de rodovias e ferrovias</v>
      </c>
      <c r="BV307" s="533">
        <v>0.19600000000000001</v>
      </c>
      <c r="BW307" s="533">
        <v>0.2097</v>
      </c>
      <c r="BX307" s="533">
        <v>0.24229999999999999</v>
      </c>
      <c r="CD307" s="455">
        <f>BT262</f>
        <v>600</v>
      </c>
      <c r="CE307" s="748" t="str">
        <f>BU262</f>
        <v>Fornecimento de Materiais e Equipamentos</v>
      </c>
      <c r="CF307" s="748"/>
      <c r="CG307" s="748"/>
      <c r="CH307" s="748"/>
    </row>
    <row r="308" spans="72:86" ht="60.75" thickBot="1">
      <c r="BT308" s="455">
        <f>BT259</f>
        <v>300</v>
      </c>
      <c r="BU308" s="537" t="str">
        <f t="shared" si="2"/>
        <v>Construção de Redes de Abastecimento de Água, Coleta de Esgoto e Construções Correlatas</v>
      </c>
      <c r="BV308" s="533">
        <v>0.20760000000000001</v>
      </c>
      <c r="BW308" s="533">
        <v>0.24179999999999999</v>
      </c>
      <c r="BX308" s="533">
        <v>0.26440000000000002</v>
      </c>
      <c r="CD308" s="455">
        <f>+CD307+1</f>
        <v>601</v>
      </c>
      <c r="CE308" s="537" t="s">
        <v>125</v>
      </c>
      <c r="CF308" s="538">
        <v>1.4999999999999999E-2</v>
      </c>
      <c r="CG308" s="538">
        <v>3.4500000000000003E-2</v>
      </c>
      <c r="CH308" s="538">
        <v>4.4900000000000002E-2</v>
      </c>
    </row>
    <row r="309" spans="72:86" ht="45.75" thickBot="1">
      <c r="BT309" s="455">
        <v>400</v>
      </c>
      <c r="BU309" s="537" t="str">
        <f t="shared" si="2"/>
        <v>Construção e Manutenção de Estações e Redes de Distribuição de Energia Elétrica</v>
      </c>
      <c r="BV309" s="533">
        <v>0.24</v>
      </c>
      <c r="BW309" s="533">
        <v>0.25840000000000002</v>
      </c>
      <c r="BX309" s="533">
        <v>0.27860000000000001</v>
      </c>
      <c r="CD309" s="455">
        <f>+CD308+1</f>
        <v>602</v>
      </c>
      <c r="CE309" s="532" t="s">
        <v>126</v>
      </c>
      <c r="CF309" s="533">
        <v>3.0000000000000001E-3</v>
      </c>
      <c r="CG309" s="533">
        <v>4.7999999999999996E-3</v>
      </c>
      <c r="CH309" s="533">
        <v>8.2000000000000007E-3</v>
      </c>
    </row>
    <row r="310" spans="72:86" ht="15.75" thickBot="1">
      <c r="BT310" s="455">
        <v>500</v>
      </c>
      <c r="BU310" s="537" t="str">
        <f t="shared" si="2"/>
        <v>Portuárias, Marítimas e Fluviais</v>
      </c>
      <c r="BV310" s="533">
        <v>0.22800000000000001</v>
      </c>
      <c r="BW310" s="533">
        <v>0.27479999999999999</v>
      </c>
      <c r="BX310" s="533">
        <v>0.3095</v>
      </c>
      <c r="CD310" s="455">
        <f>+CD309+1</f>
        <v>603</v>
      </c>
      <c r="CE310" s="532" t="s">
        <v>30</v>
      </c>
      <c r="CF310" s="533">
        <v>5.5999999999999999E-3</v>
      </c>
      <c r="CG310" s="533">
        <v>8.5000000000000006E-3</v>
      </c>
      <c r="CH310" s="533">
        <v>8.8999999999999999E-3</v>
      </c>
    </row>
    <row r="311" spans="72:86" ht="30.75" thickBot="1">
      <c r="BT311" s="455">
        <v>600</v>
      </c>
      <c r="BU311" s="537" t="str">
        <f t="shared" si="2"/>
        <v>Fornecimento de Materiais e Equipamentos</v>
      </c>
      <c r="BV311" s="533">
        <v>0.111</v>
      </c>
      <c r="BW311" s="533">
        <v>0.14019999999999999</v>
      </c>
      <c r="BX311" s="533">
        <v>0.16800000000000001</v>
      </c>
      <c r="CD311" s="455">
        <f>+CD310+1</f>
        <v>604</v>
      </c>
      <c r="CE311" s="532" t="s">
        <v>127</v>
      </c>
      <c r="CF311" s="533">
        <v>8.5000000000000006E-3</v>
      </c>
      <c r="CG311" s="533">
        <v>8.5000000000000006E-3</v>
      </c>
      <c r="CH311" s="533">
        <v>1.11E-2</v>
      </c>
    </row>
    <row r="312" spans="72:86" ht="15.75" thickBot="1">
      <c r="CD312" s="455">
        <f>+CD311+1</f>
        <v>605</v>
      </c>
      <c r="CE312" s="532" t="s">
        <v>128</v>
      </c>
      <c r="CF312" s="533">
        <v>3.5000000000000003E-2</v>
      </c>
      <c r="CG312" s="533">
        <v>5.11E-2</v>
      </c>
      <c r="CH312" s="533">
        <v>6.2199999999999998E-2</v>
      </c>
    </row>
  </sheetData>
  <mergeCells count="31">
    <mergeCell ref="CE307:CH307"/>
    <mergeCell ref="BT288:BX288"/>
    <mergeCell ref="BT289:BX289"/>
    <mergeCell ref="BT293:BX293"/>
    <mergeCell ref="CE294:CH294"/>
    <mergeCell ref="CE300:CH300"/>
    <mergeCell ref="CE271:CH271"/>
    <mergeCell ref="CE279:CH279"/>
    <mergeCell ref="BT282:BX282"/>
    <mergeCell ref="BT287:BX287"/>
    <mergeCell ref="CE287:CH287"/>
    <mergeCell ref="B52:F52"/>
    <mergeCell ref="B54:D54"/>
    <mergeCell ref="E54:F54"/>
    <mergeCell ref="D56:E56"/>
    <mergeCell ref="BT255:BX255"/>
    <mergeCell ref="B28:F28"/>
    <mergeCell ref="B31:F31"/>
    <mergeCell ref="B32:F32"/>
    <mergeCell ref="E46:F46"/>
    <mergeCell ref="B47:F47"/>
    <mergeCell ref="D19:F19"/>
    <mergeCell ref="K19:AV20"/>
    <mergeCell ref="D21:F21"/>
    <mergeCell ref="D22:F22"/>
    <mergeCell ref="D26:E26"/>
    <mergeCell ref="A1:G1"/>
    <mergeCell ref="B5:F5"/>
    <mergeCell ref="B7:F7"/>
    <mergeCell ref="C9:F9"/>
    <mergeCell ref="B15:F15"/>
  </mergeCells>
  <conditionalFormatting sqref="F34:F38">
    <cfRule type="cellIs" dxfId="3" priority="1" stopIfTrue="1" operator="between">
      <formula>$C34</formula>
      <formula>$E34</formula>
    </cfRule>
  </conditionalFormatting>
  <conditionalFormatting sqref="B52:D56 E52:F53 E55:F56">
    <cfRule type="expression" dxfId="2" priority="2" stopIfTrue="1">
      <formula>OR($F$11="NÃO",$F$11="")</formula>
    </cfRule>
  </conditionalFormatting>
  <conditionalFormatting sqref="E46:F46">
    <cfRule type="expression" dxfId="1" priority="3" stopIfTrue="1">
      <formula>$F$11="SIM"</formula>
    </cfRule>
  </conditionalFormatting>
  <conditionalFormatting sqref="E54:F54">
    <cfRule type="expression" dxfId="0" priority="4" stopIfTrue="1">
      <formula>OR($F$11="NÃO",$F$11="")</formula>
    </cfRule>
  </conditionalFormatting>
  <dataValidations count="5">
    <dataValidation type="decimal" allowBlank="1" showInputMessage="1" showErrorMessage="1" sqref="F40">
      <formula1>C40</formula1>
      <formula2>E40</formula2>
    </dataValidation>
    <dataValidation type="decimal" allowBlank="1" showInputMessage="1" showErrorMessage="1" errorTitle="FORA DO INTERVALO" error="Deve-se adotar valor entre o 1º e 3º quartil" sqref="F34:F38">
      <formula1>C34</formula1>
      <formula2>E34</formula2>
    </dataValidation>
    <dataValidation type="list" allowBlank="1" showInputMessage="1" showErrorMessage="1" sqref="F11">
      <formula1>"SIM, NÃO"</formula1>
    </dataValidation>
    <dataValidation type="list" allowBlank="1" showInputMessage="1" showErrorMessage="1" sqref="C9:F9">
      <formula1>$BU$257:$BU$262</formula1>
    </dataValidation>
    <dataValidation type="list" allowBlank="1" showInputMessage="1" showErrorMessage="1" sqref="E20:F20">
      <formula1>$CE$266:$CE$267</formula1>
    </dataValidation>
  </dataValidations>
  <printOptions horizontalCentered="1" gridLines="1"/>
  <pageMargins left="0.98425196850393704" right="0.78740157480314965" top="0.98425196850393704" bottom="0.78740157480314965" header="0.31496062992125984" footer="0.31496062992125984"/>
  <pageSetup paperSize="9" scale="85" orientation="portrait" r:id="rId1"/>
  <headerFooter>
    <oddFooter>&amp;RPágina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79</xdr:col>
                <xdr:colOff>0</xdr:colOff>
                <xdr:row>239</xdr:row>
                <xdr:rowOff>0</xdr:rowOff>
              </from>
              <to>
                <xdr:col>79</xdr:col>
                <xdr:colOff>0</xdr:colOff>
                <xdr:row>240</xdr:row>
                <xdr:rowOff>76200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0</xdr:col>
                <xdr:colOff>57150</xdr:colOff>
                <xdr:row>41</xdr:row>
                <xdr:rowOff>0</xdr:rowOff>
              </from>
              <to>
                <xdr:col>5</xdr:col>
                <xdr:colOff>714375</xdr:colOff>
                <xdr:row>44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M27" sqref="M27"/>
    </sheetView>
  </sheetViews>
  <sheetFormatPr defaultRowHeight="12.75"/>
  <cols>
    <col min="1" max="1" width="5.7109375" style="455" customWidth="1"/>
    <col min="2" max="2" width="68.5703125" style="455" customWidth="1"/>
    <col min="3" max="3" width="6.140625" style="455" customWidth="1"/>
    <col min="4" max="4" width="7" style="456" customWidth="1"/>
    <col min="5" max="5" width="9" style="456" customWidth="1"/>
    <col min="6" max="6" width="9.140625" style="456" customWidth="1"/>
    <col min="7" max="7" width="10.85546875" style="456" customWidth="1"/>
    <col min="8" max="8" width="9.5703125" style="456" customWidth="1"/>
    <col min="9" max="9" width="11.28515625" style="456" customWidth="1"/>
    <col min="10" max="10" width="11.28515625" style="460" customWidth="1"/>
    <col min="11" max="11" width="18.42578125" style="458" customWidth="1"/>
    <col min="12" max="12" width="11" style="458" customWidth="1"/>
    <col min="13" max="13" width="13.42578125" style="460" customWidth="1"/>
    <col min="14" max="256" width="9.140625" style="435"/>
    <col min="257" max="257" width="5.7109375" style="435" customWidth="1"/>
    <col min="258" max="258" width="68.5703125" style="435" customWidth="1"/>
    <col min="259" max="259" width="6.140625" style="435" customWidth="1"/>
    <col min="260" max="260" width="7" style="435" customWidth="1"/>
    <col min="261" max="261" width="9" style="435" customWidth="1"/>
    <col min="262" max="262" width="9.140625" style="435" customWidth="1"/>
    <col min="263" max="263" width="14.5703125" style="435" customWidth="1"/>
    <col min="264" max="264" width="9.5703125" style="435" customWidth="1"/>
    <col min="265" max="265" width="11.28515625" style="435" customWidth="1"/>
    <col min="266" max="266" width="12.140625" style="435" bestFit="1" customWidth="1"/>
    <col min="267" max="267" width="18.42578125" style="435" customWidth="1"/>
    <col min="268" max="268" width="13.5703125" style="435" customWidth="1"/>
    <col min="269" max="269" width="17.42578125" style="435" customWidth="1"/>
    <col min="270" max="512" width="9.140625" style="435"/>
    <col min="513" max="513" width="5.7109375" style="435" customWidth="1"/>
    <col min="514" max="514" width="68.5703125" style="435" customWidth="1"/>
    <col min="515" max="515" width="6.140625" style="435" customWidth="1"/>
    <col min="516" max="516" width="7" style="435" customWidth="1"/>
    <col min="517" max="517" width="9" style="435" customWidth="1"/>
    <col min="518" max="518" width="9.140625" style="435" customWidth="1"/>
    <col min="519" max="519" width="14.5703125" style="435" customWidth="1"/>
    <col min="520" max="520" width="9.5703125" style="435" customWidth="1"/>
    <col min="521" max="521" width="11.28515625" style="435" customWidth="1"/>
    <col min="522" max="522" width="12.140625" style="435" bestFit="1" customWidth="1"/>
    <col min="523" max="523" width="18.42578125" style="435" customWidth="1"/>
    <col min="524" max="524" width="13.5703125" style="435" customWidth="1"/>
    <col min="525" max="525" width="17.42578125" style="435" customWidth="1"/>
    <col min="526" max="768" width="9.140625" style="435"/>
    <col min="769" max="769" width="5.7109375" style="435" customWidth="1"/>
    <col min="770" max="770" width="68.5703125" style="435" customWidth="1"/>
    <col min="771" max="771" width="6.140625" style="435" customWidth="1"/>
    <col min="772" max="772" width="7" style="435" customWidth="1"/>
    <col min="773" max="773" width="9" style="435" customWidth="1"/>
    <col min="774" max="774" width="9.140625" style="435" customWidth="1"/>
    <col min="775" max="775" width="14.5703125" style="435" customWidth="1"/>
    <col min="776" max="776" width="9.5703125" style="435" customWidth="1"/>
    <col min="777" max="777" width="11.28515625" style="435" customWidth="1"/>
    <col min="778" max="778" width="12.140625" style="435" bestFit="1" customWidth="1"/>
    <col min="779" max="779" width="18.42578125" style="435" customWidth="1"/>
    <col min="780" max="780" width="13.5703125" style="435" customWidth="1"/>
    <col min="781" max="781" width="17.42578125" style="435" customWidth="1"/>
    <col min="782" max="1024" width="9.140625" style="435"/>
    <col min="1025" max="1025" width="5.7109375" style="435" customWidth="1"/>
    <col min="1026" max="1026" width="68.5703125" style="435" customWidth="1"/>
    <col min="1027" max="1027" width="6.140625" style="435" customWidth="1"/>
    <col min="1028" max="1028" width="7" style="435" customWidth="1"/>
    <col min="1029" max="1029" width="9" style="435" customWidth="1"/>
    <col min="1030" max="1030" width="9.140625" style="435" customWidth="1"/>
    <col min="1031" max="1031" width="14.5703125" style="435" customWidth="1"/>
    <col min="1032" max="1032" width="9.5703125" style="435" customWidth="1"/>
    <col min="1033" max="1033" width="11.28515625" style="435" customWidth="1"/>
    <col min="1034" max="1034" width="12.140625" style="435" bestFit="1" customWidth="1"/>
    <col min="1035" max="1035" width="18.42578125" style="435" customWidth="1"/>
    <col min="1036" max="1036" width="13.5703125" style="435" customWidth="1"/>
    <col min="1037" max="1037" width="17.42578125" style="435" customWidth="1"/>
    <col min="1038" max="1280" width="9.140625" style="435"/>
    <col min="1281" max="1281" width="5.7109375" style="435" customWidth="1"/>
    <col min="1282" max="1282" width="68.5703125" style="435" customWidth="1"/>
    <col min="1283" max="1283" width="6.140625" style="435" customWidth="1"/>
    <col min="1284" max="1284" width="7" style="435" customWidth="1"/>
    <col min="1285" max="1285" width="9" style="435" customWidth="1"/>
    <col min="1286" max="1286" width="9.140625" style="435" customWidth="1"/>
    <col min="1287" max="1287" width="14.5703125" style="435" customWidth="1"/>
    <col min="1288" max="1288" width="9.5703125" style="435" customWidth="1"/>
    <col min="1289" max="1289" width="11.28515625" style="435" customWidth="1"/>
    <col min="1290" max="1290" width="12.140625" style="435" bestFit="1" customWidth="1"/>
    <col min="1291" max="1291" width="18.42578125" style="435" customWidth="1"/>
    <col min="1292" max="1292" width="13.5703125" style="435" customWidth="1"/>
    <col min="1293" max="1293" width="17.42578125" style="435" customWidth="1"/>
    <col min="1294" max="1536" width="9.140625" style="435"/>
    <col min="1537" max="1537" width="5.7109375" style="435" customWidth="1"/>
    <col min="1538" max="1538" width="68.5703125" style="435" customWidth="1"/>
    <col min="1539" max="1539" width="6.140625" style="435" customWidth="1"/>
    <col min="1540" max="1540" width="7" style="435" customWidth="1"/>
    <col min="1541" max="1541" width="9" style="435" customWidth="1"/>
    <col min="1542" max="1542" width="9.140625" style="435" customWidth="1"/>
    <col min="1543" max="1543" width="14.5703125" style="435" customWidth="1"/>
    <col min="1544" max="1544" width="9.5703125" style="435" customWidth="1"/>
    <col min="1545" max="1545" width="11.28515625" style="435" customWidth="1"/>
    <col min="1546" max="1546" width="12.140625" style="435" bestFit="1" customWidth="1"/>
    <col min="1547" max="1547" width="18.42578125" style="435" customWidth="1"/>
    <col min="1548" max="1548" width="13.5703125" style="435" customWidth="1"/>
    <col min="1549" max="1549" width="17.42578125" style="435" customWidth="1"/>
    <col min="1550" max="1792" width="9.140625" style="435"/>
    <col min="1793" max="1793" width="5.7109375" style="435" customWidth="1"/>
    <col min="1794" max="1794" width="68.5703125" style="435" customWidth="1"/>
    <col min="1795" max="1795" width="6.140625" style="435" customWidth="1"/>
    <col min="1796" max="1796" width="7" style="435" customWidth="1"/>
    <col min="1797" max="1797" width="9" style="435" customWidth="1"/>
    <col min="1798" max="1798" width="9.140625" style="435" customWidth="1"/>
    <col min="1799" max="1799" width="14.5703125" style="435" customWidth="1"/>
    <col min="1800" max="1800" width="9.5703125" style="435" customWidth="1"/>
    <col min="1801" max="1801" width="11.28515625" style="435" customWidth="1"/>
    <col min="1802" max="1802" width="12.140625" style="435" bestFit="1" customWidth="1"/>
    <col min="1803" max="1803" width="18.42578125" style="435" customWidth="1"/>
    <col min="1804" max="1804" width="13.5703125" style="435" customWidth="1"/>
    <col min="1805" max="1805" width="17.42578125" style="435" customWidth="1"/>
    <col min="1806" max="2048" width="9.140625" style="435"/>
    <col min="2049" max="2049" width="5.7109375" style="435" customWidth="1"/>
    <col min="2050" max="2050" width="68.5703125" style="435" customWidth="1"/>
    <col min="2051" max="2051" width="6.140625" style="435" customWidth="1"/>
    <col min="2052" max="2052" width="7" style="435" customWidth="1"/>
    <col min="2053" max="2053" width="9" style="435" customWidth="1"/>
    <col min="2054" max="2054" width="9.140625" style="435" customWidth="1"/>
    <col min="2055" max="2055" width="14.5703125" style="435" customWidth="1"/>
    <col min="2056" max="2056" width="9.5703125" style="435" customWidth="1"/>
    <col min="2057" max="2057" width="11.28515625" style="435" customWidth="1"/>
    <col min="2058" max="2058" width="12.140625" style="435" bestFit="1" customWidth="1"/>
    <col min="2059" max="2059" width="18.42578125" style="435" customWidth="1"/>
    <col min="2060" max="2060" width="13.5703125" style="435" customWidth="1"/>
    <col min="2061" max="2061" width="17.42578125" style="435" customWidth="1"/>
    <col min="2062" max="2304" width="9.140625" style="435"/>
    <col min="2305" max="2305" width="5.7109375" style="435" customWidth="1"/>
    <col min="2306" max="2306" width="68.5703125" style="435" customWidth="1"/>
    <col min="2307" max="2307" width="6.140625" style="435" customWidth="1"/>
    <col min="2308" max="2308" width="7" style="435" customWidth="1"/>
    <col min="2309" max="2309" width="9" style="435" customWidth="1"/>
    <col min="2310" max="2310" width="9.140625" style="435" customWidth="1"/>
    <col min="2311" max="2311" width="14.5703125" style="435" customWidth="1"/>
    <col min="2312" max="2312" width="9.5703125" style="435" customWidth="1"/>
    <col min="2313" max="2313" width="11.28515625" style="435" customWidth="1"/>
    <col min="2314" max="2314" width="12.140625" style="435" bestFit="1" customWidth="1"/>
    <col min="2315" max="2315" width="18.42578125" style="435" customWidth="1"/>
    <col min="2316" max="2316" width="13.5703125" style="435" customWidth="1"/>
    <col min="2317" max="2317" width="17.42578125" style="435" customWidth="1"/>
    <col min="2318" max="2560" width="9.140625" style="435"/>
    <col min="2561" max="2561" width="5.7109375" style="435" customWidth="1"/>
    <col min="2562" max="2562" width="68.5703125" style="435" customWidth="1"/>
    <col min="2563" max="2563" width="6.140625" style="435" customWidth="1"/>
    <col min="2564" max="2564" width="7" style="435" customWidth="1"/>
    <col min="2565" max="2565" width="9" style="435" customWidth="1"/>
    <col min="2566" max="2566" width="9.140625" style="435" customWidth="1"/>
    <col min="2567" max="2567" width="14.5703125" style="435" customWidth="1"/>
    <col min="2568" max="2568" width="9.5703125" style="435" customWidth="1"/>
    <col min="2569" max="2569" width="11.28515625" style="435" customWidth="1"/>
    <col min="2570" max="2570" width="12.140625" style="435" bestFit="1" customWidth="1"/>
    <col min="2571" max="2571" width="18.42578125" style="435" customWidth="1"/>
    <col min="2572" max="2572" width="13.5703125" style="435" customWidth="1"/>
    <col min="2573" max="2573" width="17.42578125" style="435" customWidth="1"/>
    <col min="2574" max="2816" width="9.140625" style="435"/>
    <col min="2817" max="2817" width="5.7109375" style="435" customWidth="1"/>
    <col min="2818" max="2818" width="68.5703125" style="435" customWidth="1"/>
    <col min="2819" max="2819" width="6.140625" style="435" customWidth="1"/>
    <col min="2820" max="2820" width="7" style="435" customWidth="1"/>
    <col min="2821" max="2821" width="9" style="435" customWidth="1"/>
    <col min="2822" max="2822" width="9.140625" style="435" customWidth="1"/>
    <col min="2823" max="2823" width="14.5703125" style="435" customWidth="1"/>
    <col min="2824" max="2824" width="9.5703125" style="435" customWidth="1"/>
    <col min="2825" max="2825" width="11.28515625" style="435" customWidth="1"/>
    <col min="2826" max="2826" width="12.140625" style="435" bestFit="1" customWidth="1"/>
    <col min="2827" max="2827" width="18.42578125" style="435" customWidth="1"/>
    <col min="2828" max="2828" width="13.5703125" style="435" customWidth="1"/>
    <col min="2829" max="2829" width="17.42578125" style="435" customWidth="1"/>
    <col min="2830" max="3072" width="9.140625" style="435"/>
    <col min="3073" max="3073" width="5.7109375" style="435" customWidth="1"/>
    <col min="3074" max="3074" width="68.5703125" style="435" customWidth="1"/>
    <col min="3075" max="3075" width="6.140625" style="435" customWidth="1"/>
    <col min="3076" max="3076" width="7" style="435" customWidth="1"/>
    <col min="3077" max="3077" width="9" style="435" customWidth="1"/>
    <col min="3078" max="3078" width="9.140625" style="435" customWidth="1"/>
    <col min="3079" max="3079" width="14.5703125" style="435" customWidth="1"/>
    <col min="3080" max="3080" width="9.5703125" style="435" customWidth="1"/>
    <col min="3081" max="3081" width="11.28515625" style="435" customWidth="1"/>
    <col min="3082" max="3082" width="12.140625" style="435" bestFit="1" customWidth="1"/>
    <col min="3083" max="3083" width="18.42578125" style="435" customWidth="1"/>
    <col min="3084" max="3084" width="13.5703125" style="435" customWidth="1"/>
    <col min="3085" max="3085" width="17.42578125" style="435" customWidth="1"/>
    <col min="3086" max="3328" width="9.140625" style="435"/>
    <col min="3329" max="3329" width="5.7109375" style="435" customWidth="1"/>
    <col min="3330" max="3330" width="68.5703125" style="435" customWidth="1"/>
    <col min="3331" max="3331" width="6.140625" style="435" customWidth="1"/>
    <col min="3332" max="3332" width="7" style="435" customWidth="1"/>
    <col min="3333" max="3333" width="9" style="435" customWidth="1"/>
    <col min="3334" max="3334" width="9.140625" style="435" customWidth="1"/>
    <col min="3335" max="3335" width="14.5703125" style="435" customWidth="1"/>
    <col min="3336" max="3336" width="9.5703125" style="435" customWidth="1"/>
    <col min="3337" max="3337" width="11.28515625" style="435" customWidth="1"/>
    <col min="3338" max="3338" width="12.140625" style="435" bestFit="1" customWidth="1"/>
    <col min="3339" max="3339" width="18.42578125" style="435" customWidth="1"/>
    <col min="3340" max="3340" width="13.5703125" style="435" customWidth="1"/>
    <col min="3341" max="3341" width="17.42578125" style="435" customWidth="1"/>
    <col min="3342" max="3584" width="9.140625" style="435"/>
    <col min="3585" max="3585" width="5.7109375" style="435" customWidth="1"/>
    <col min="3586" max="3586" width="68.5703125" style="435" customWidth="1"/>
    <col min="3587" max="3587" width="6.140625" style="435" customWidth="1"/>
    <col min="3588" max="3588" width="7" style="435" customWidth="1"/>
    <col min="3589" max="3589" width="9" style="435" customWidth="1"/>
    <col min="3590" max="3590" width="9.140625" style="435" customWidth="1"/>
    <col min="3591" max="3591" width="14.5703125" style="435" customWidth="1"/>
    <col min="3592" max="3592" width="9.5703125" style="435" customWidth="1"/>
    <col min="3593" max="3593" width="11.28515625" style="435" customWidth="1"/>
    <col min="3594" max="3594" width="12.140625" style="435" bestFit="1" customWidth="1"/>
    <col min="3595" max="3595" width="18.42578125" style="435" customWidth="1"/>
    <col min="3596" max="3596" width="13.5703125" style="435" customWidth="1"/>
    <col min="3597" max="3597" width="17.42578125" style="435" customWidth="1"/>
    <col min="3598" max="3840" width="9.140625" style="435"/>
    <col min="3841" max="3841" width="5.7109375" style="435" customWidth="1"/>
    <col min="3842" max="3842" width="68.5703125" style="435" customWidth="1"/>
    <col min="3843" max="3843" width="6.140625" style="435" customWidth="1"/>
    <col min="3844" max="3844" width="7" style="435" customWidth="1"/>
    <col min="3845" max="3845" width="9" style="435" customWidth="1"/>
    <col min="3846" max="3846" width="9.140625" style="435" customWidth="1"/>
    <col min="3847" max="3847" width="14.5703125" style="435" customWidth="1"/>
    <col min="3848" max="3848" width="9.5703125" style="435" customWidth="1"/>
    <col min="3849" max="3849" width="11.28515625" style="435" customWidth="1"/>
    <col min="3850" max="3850" width="12.140625" style="435" bestFit="1" customWidth="1"/>
    <col min="3851" max="3851" width="18.42578125" style="435" customWidth="1"/>
    <col min="3852" max="3852" width="13.5703125" style="435" customWidth="1"/>
    <col min="3853" max="3853" width="17.42578125" style="435" customWidth="1"/>
    <col min="3854" max="4096" width="9.140625" style="435"/>
    <col min="4097" max="4097" width="5.7109375" style="435" customWidth="1"/>
    <col min="4098" max="4098" width="68.5703125" style="435" customWidth="1"/>
    <col min="4099" max="4099" width="6.140625" style="435" customWidth="1"/>
    <col min="4100" max="4100" width="7" style="435" customWidth="1"/>
    <col min="4101" max="4101" width="9" style="435" customWidth="1"/>
    <col min="4102" max="4102" width="9.140625" style="435" customWidth="1"/>
    <col min="4103" max="4103" width="14.5703125" style="435" customWidth="1"/>
    <col min="4104" max="4104" width="9.5703125" style="435" customWidth="1"/>
    <col min="4105" max="4105" width="11.28515625" style="435" customWidth="1"/>
    <col min="4106" max="4106" width="12.140625" style="435" bestFit="1" customWidth="1"/>
    <col min="4107" max="4107" width="18.42578125" style="435" customWidth="1"/>
    <col min="4108" max="4108" width="13.5703125" style="435" customWidth="1"/>
    <col min="4109" max="4109" width="17.42578125" style="435" customWidth="1"/>
    <col min="4110" max="4352" width="9.140625" style="435"/>
    <col min="4353" max="4353" width="5.7109375" style="435" customWidth="1"/>
    <col min="4354" max="4354" width="68.5703125" style="435" customWidth="1"/>
    <col min="4355" max="4355" width="6.140625" style="435" customWidth="1"/>
    <col min="4356" max="4356" width="7" style="435" customWidth="1"/>
    <col min="4357" max="4357" width="9" style="435" customWidth="1"/>
    <col min="4358" max="4358" width="9.140625" style="435" customWidth="1"/>
    <col min="4359" max="4359" width="14.5703125" style="435" customWidth="1"/>
    <col min="4360" max="4360" width="9.5703125" style="435" customWidth="1"/>
    <col min="4361" max="4361" width="11.28515625" style="435" customWidth="1"/>
    <col min="4362" max="4362" width="12.140625" style="435" bestFit="1" customWidth="1"/>
    <col min="4363" max="4363" width="18.42578125" style="435" customWidth="1"/>
    <col min="4364" max="4364" width="13.5703125" style="435" customWidth="1"/>
    <col min="4365" max="4365" width="17.42578125" style="435" customWidth="1"/>
    <col min="4366" max="4608" width="9.140625" style="435"/>
    <col min="4609" max="4609" width="5.7109375" style="435" customWidth="1"/>
    <col min="4610" max="4610" width="68.5703125" style="435" customWidth="1"/>
    <col min="4611" max="4611" width="6.140625" style="435" customWidth="1"/>
    <col min="4612" max="4612" width="7" style="435" customWidth="1"/>
    <col min="4613" max="4613" width="9" style="435" customWidth="1"/>
    <col min="4614" max="4614" width="9.140625" style="435" customWidth="1"/>
    <col min="4615" max="4615" width="14.5703125" style="435" customWidth="1"/>
    <col min="4616" max="4616" width="9.5703125" style="435" customWidth="1"/>
    <col min="4617" max="4617" width="11.28515625" style="435" customWidth="1"/>
    <col min="4618" max="4618" width="12.140625" style="435" bestFit="1" customWidth="1"/>
    <col min="4619" max="4619" width="18.42578125" style="435" customWidth="1"/>
    <col min="4620" max="4620" width="13.5703125" style="435" customWidth="1"/>
    <col min="4621" max="4621" width="17.42578125" style="435" customWidth="1"/>
    <col min="4622" max="4864" width="9.140625" style="435"/>
    <col min="4865" max="4865" width="5.7109375" style="435" customWidth="1"/>
    <col min="4866" max="4866" width="68.5703125" style="435" customWidth="1"/>
    <col min="4867" max="4867" width="6.140625" style="435" customWidth="1"/>
    <col min="4868" max="4868" width="7" style="435" customWidth="1"/>
    <col min="4869" max="4869" width="9" style="435" customWidth="1"/>
    <col min="4870" max="4870" width="9.140625" style="435" customWidth="1"/>
    <col min="4871" max="4871" width="14.5703125" style="435" customWidth="1"/>
    <col min="4872" max="4872" width="9.5703125" style="435" customWidth="1"/>
    <col min="4873" max="4873" width="11.28515625" style="435" customWidth="1"/>
    <col min="4874" max="4874" width="12.140625" style="435" bestFit="1" customWidth="1"/>
    <col min="4875" max="4875" width="18.42578125" style="435" customWidth="1"/>
    <col min="4876" max="4876" width="13.5703125" style="435" customWidth="1"/>
    <col min="4877" max="4877" width="17.42578125" style="435" customWidth="1"/>
    <col min="4878" max="5120" width="9.140625" style="435"/>
    <col min="5121" max="5121" width="5.7109375" style="435" customWidth="1"/>
    <col min="5122" max="5122" width="68.5703125" style="435" customWidth="1"/>
    <col min="5123" max="5123" width="6.140625" style="435" customWidth="1"/>
    <col min="5124" max="5124" width="7" style="435" customWidth="1"/>
    <col min="5125" max="5125" width="9" style="435" customWidth="1"/>
    <col min="5126" max="5126" width="9.140625" style="435" customWidth="1"/>
    <col min="5127" max="5127" width="14.5703125" style="435" customWidth="1"/>
    <col min="5128" max="5128" width="9.5703125" style="435" customWidth="1"/>
    <col min="5129" max="5129" width="11.28515625" style="435" customWidth="1"/>
    <col min="5130" max="5130" width="12.140625" style="435" bestFit="1" customWidth="1"/>
    <col min="5131" max="5131" width="18.42578125" style="435" customWidth="1"/>
    <col min="5132" max="5132" width="13.5703125" style="435" customWidth="1"/>
    <col min="5133" max="5133" width="17.42578125" style="435" customWidth="1"/>
    <col min="5134" max="5376" width="9.140625" style="435"/>
    <col min="5377" max="5377" width="5.7109375" style="435" customWidth="1"/>
    <col min="5378" max="5378" width="68.5703125" style="435" customWidth="1"/>
    <col min="5379" max="5379" width="6.140625" style="435" customWidth="1"/>
    <col min="5380" max="5380" width="7" style="435" customWidth="1"/>
    <col min="5381" max="5381" width="9" style="435" customWidth="1"/>
    <col min="5382" max="5382" width="9.140625" style="435" customWidth="1"/>
    <col min="5383" max="5383" width="14.5703125" style="435" customWidth="1"/>
    <col min="5384" max="5384" width="9.5703125" style="435" customWidth="1"/>
    <col min="5385" max="5385" width="11.28515625" style="435" customWidth="1"/>
    <col min="5386" max="5386" width="12.140625" style="435" bestFit="1" customWidth="1"/>
    <col min="5387" max="5387" width="18.42578125" style="435" customWidth="1"/>
    <col min="5388" max="5388" width="13.5703125" style="435" customWidth="1"/>
    <col min="5389" max="5389" width="17.42578125" style="435" customWidth="1"/>
    <col min="5390" max="5632" width="9.140625" style="435"/>
    <col min="5633" max="5633" width="5.7109375" style="435" customWidth="1"/>
    <col min="5634" max="5634" width="68.5703125" style="435" customWidth="1"/>
    <col min="5635" max="5635" width="6.140625" style="435" customWidth="1"/>
    <col min="5636" max="5636" width="7" style="435" customWidth="1"/>
    <col min="5637" max="5637" width="9" style="435" customWidth="1"/>
    <col min="5638" max="5638" width="9.140625" style="435" customWidth="1"/>
    <col min="5639" max="5639" width="14.5703125" style="435" customWidth="1"/>
    <col min="5640" max="5640" width="9.5703125" style="435" customWidth="1"/>
    <col min="5641" max="5641" width="11.28515625" style="435" customWidth="1"/>
    <col min="5642" max="5642" width="12.140625" style="435" bestFit="1" customWidth="1"/>
    <col min="5643" max="5643" width="18.42578125" style="435" customWidth="1"/>
    <col min="5644" max="5644" width="13.5703125" style="435" customWidth="1"/>
    <col min="5645" max="5645" width="17.42578125" style="435" customWidth="1"/>
    <col min="5646" max="5888" width="9.140625" style="435"/>
    <col min="5889" max="5889" width="5.7109375" style="435" customWidth="1"/>
    <col min="5890" max="5890" width="68.5703125" style="435" customWidth="1"/>
    <col min="5891" max="5891" width="6.140625" style="435" customWidth="1"/>
    <col min="5892" max="5892" width="7" style="435" customWidth="1"/>
    <col min="5893" max="5893" width="9" style="435" customWidth="1"/>
    <col min="5894" max="5894" width="9.140625" style="435" customWidth="1"/>
    <col min="5895" max="5895" width="14.5703125" style="435" customWidth="1"/>
    <col min="5896" max="5896" width="9.5703125" style="435" customWidth="1"/>
    <col min="5897" max="5897" width="11.28515625" style="435" customWidth="1"/>
    <col min="5898" max="5898" width="12.140625" style="435" bestFit="1" customWidth="1"/>
    <col min="5899" max="5899" width="18.42578125" style="435" customWidth="1"/>
    <col min="5900" max="5900" width="13.5703125" style="435" customWidth="1"/>
    <col min="5901" max="5901" width="17.42578125" style="435" customWidth="1"/>
    <col min="5902" max="6144" width="9.140625" style="435"/>
    <col min="6145" max="6145" width="5.7109375" style="435" customWidth="1"/>
    <col min="6146" max="6146" width="68.5703125" style="435" customWidth="1"/>
    <col min="6147" max="6147" width="6.140625" style="435" customWidth="1"/>
    <col min="6148" max="6148" width="7" style="435" customWidth="1"/>
    <col min="6149" max="6149" width="9" style="435" customWidth="1"/>
    <col min="6150" max="6150" width="9.140625" style="435" customWidth="1"/>
    <col min="6151" max="6151" width="14.5703125" style="435" customWidth="1"/>
    <col min="6152" max="6152" width="9.5703125" style="435" customWidth="1"/>
    <col min="6153" max="6153" width="11.28515625" style="435" customWidth="1"/>
    <col min="6154" max="6154" width="12.140625" style="435" bestFit="1" customWidth="1"/>
    <col min="6155" max="6155" width="18.42578125" style="435" customWidth="1"/>
    <col min="6156" max="6156" width="13.5703125" style="435" customWidth="1"/>
    <col min="6157" max="6157" width="17.42578125" style="435" customWidth="1"/>
    <col min="6158" max="6400" width="9.140625" style="435"/>
    <col min="6401" max="6401" width="5.7109375" style="435" customWidth="1"/>
    <col min="6402" max="6402" width="68.5703125" style="435" customWidth="1"/>
    <col min="6403" max="6403" width="6.140625" style="435" customWidth="1"/>
    <col min="6404" max="6404" width="7" style="435" customWidth="1"/>
    <col min="6405" max="6405" width="9" style="435" customWidth="1"/>
    <col min="6406" max="6406" width="9.140625" style="435" customWidth="1"/>
    <col min="6407" max="6407" width="14.5703125" style="435" customWidth="1"/>
    <col min="6408" max="6408" width="9.5703125" style="435" customWidth="1"/>
    <col min="6409" max="6409" width="11.28515625" style="435" customWidth="1"/>
    <col min="6410" max="6410" width="12.140625" style="435" bestFit="1" customWidth="1"/>
    <col min="6411" max="6411" width="18.42578125" style="435" customWidth="1"/>
    <col min="6412" max="6412" width="13.5703125" style="435" customWidth="1"/>
    <col min="6413" max="6413" width="17.42578125" style="435" customWidth="1"/>
    <col min="6414" max="6656" width="9.140625" style="435"/>
    <col min="6657" max="6657" width="5.7109375" style="435" customWidth="1"/>
    <col min="6658" max="6658" width="68.5703125" style="435" customWidth="1"/>
    <col min="6659" max="6659" width="6.140625" style="435" customWidth="1"/>
    <col min="6660" max="6660" width="7" style="435" customWidth="1"/>
    <col min="6661" max="6661" width="9" style="435" customWidth="1"/>
    <col min="6662" max="6662" width="9.140625" style="435" customWidth="1"/>
    <col min="6663" max="6663" width="14.5703125" style="435" customWidth="1"/>
    <col min="6664" max="6664" width="9.5703125" style="435" customWidth="1"/>
    <col min="6665" max="6665" width="11.28515625" style="435" customWidth="1"/>
    <col min="6666" max="6666" width="12.140625" style="435" bestFit="1" customWidth="1"/>
    <col min="6667" max="6667" width="18.42578125" style="435" customWidth="1"/>
    <col min="6668" max="6668" width="13.5703125" style="435" customWidth="1"/>
    <col min="6669" max="6669" width="17.42578125" style="435" customWidth="1"/>
    <col min="6670" max="6912" width="9.140625" style="435"/>
    <col min="6913" max="6913" width="5.7109375" style="435" customWidth="1"/>
    <col min="6914" max="6914" width="68.5703125" style="435" customWidth="1"/>
    <col min="6915" max="6915" width="6.140625" style="435" customWidth="1"/>
    <col min="6916" max="6916" width="7" style="435" customWidth="1"/>
    <col min="6917" max="6917" width="9" style="435" customWidth="1"/>
    <col min="6918" max="6918" width="9.140625" style="435" customWidth="1"/>
    <col min="6919" max="6919" width="14.5703125" style="435" customWidth="1"/>
    <col min="6920" max="6920" width="9.5703125" style="435" customWidth="1"/>
    <col min="6921" max="6921" width="11.28515625" style="435" customWidth="1"/>
    <col min="6922" max="6922" width="12.140625" style="435" bestFit="1" customWidth="1"/>
    <col min="6923" max="6923" width="18.42578125" style="435" customWidth="1"/>
    <col min="6924" max="6924" width="13.5703125" style="435" customWidth="1"/>
    <col min="6925" max="6925" width="17.42578125" style="435" customWidth="1"/>
    <col min="6926" max="7168" width="9.140625" style="435"/>
    <col min="7169" max="7169" width="5.7109375" style="435" customWidth="1"/>
    <col min="7170" max="7170" width="68.5703125" style="435" customWidth="1"/>
    <col min="7171" max="7171" width="6.140625" style="435" customWidth="1"/>
    <col min="7172" max="7172" width="7" style="435" customWidth="1"/>
    <col min="7173" max="7173" width="9" style="435" customWidth="1"/>
    <col min="7174" max="7174" width="9.140625" style="435" customWidth="1"/>
    <col min="7175" max="7175" width="14.5703125" style="435" customWidth="1"/>
    <col min="7176" max="7176" width="9.5703125" style="435" customWidth="1"/>
    <col min="7177" max="7177" width="11.28515625" style="435" customWidth="1"/>
    <col min="7178" max="7178" width="12.140625" style="435" bestFit="1" customWidth="1"/>
    <col min="7179" max="7179" width="18.42578125" style="435" customWidth="1"/>
    <col min="7180" max="7180" width="13.5703125" style="435" customWidth="1"/>
    <col min="7181" max="7181" width="17.42578125" style="435" customWidth="1"/>
    <col min="7182" max="7424" width="9.140625" style="435"/>
    <col min="7425" max="7425" width="5.7109375" style="435" customWidth="1"/>
    <col min="7426" max="7426" width="68.5703125" style="435" customWidth="1"/>
    <col min="7427" max="7427" width="6.140625" style="435" customWidth="1"/>
    <col min="7428" max="7428" width="7" style="435" customWidth="1"/>
    <col min="7429" max="7429" width="9" style="435" customWidth="1"/>
    <col min="7430" max="7430" width="9.140625" style="435" customWidth="1"/>
    <col min="7431" max="7431" width="14.5703125" style="435" customWidth="1"/>
    <col min="7432" max="7432" width="9.5703125" style="435" customWidth="1"/>
    <col min="7433" max="7433" width="11.28515625" style="435" customWidth="1"/>
    <col min="7434" max="7434" width="12.140625" style="435" bestFit="1" customWidth="1"/>
    <col min="7435" max="7435" width="18.42578125" style="435" customWidth="1"/>
    <col min="7436" max="7436" width="13.5703125" style="435" customWidth="1"/>
    <col min="7437" max="7437" width="17.42578125" style="435" customWidth="1"/>
    <col min="7438" max="7680" width="9.140625" style="435"/>
    <col min="7681" max="7681" width="5.7109375" style="435" customWidth="1"/>
    <col min="7682" max="7682" width="68.5703125" style="435" customWidth="1"/>
    <col min="7683" max="7683" width="6.140625" style="435" customWidth="1"/>
    <col min="7684" max="7684" width="7" style="435" customWidth="1"/>
    <col min="7685" max="7685" width="9" style="435" customWidth="1"/>
    <col min="7686" max="7686" width="9.140625" style="435" customWidth="1"/>
    <col min="7687" max="7687" width="14.5703125" style="435" customWidth="1"/>
    <col min="7688" max="7688" width="9.5703125" style="435" customWidth="1"/>
    <col min="7689" max="7689" width="11.28515625" style="435" customWidth="1"/>
    <col min="7690" max="7690" width="12.140625" style="435" bestFit="1" customWidth="1"/>
    <col min="7691" max="7691" width="18.42578125" style="435" customWidth="1"/>
    <col min="7692" max="7692" width="13.5703125" style="435" customWidth="1"/>
    <col min="7693" max="7693" width="17.42578125" style="435" customWidth="1"/>
    <col min="7694" max="7936" width="9.140625" style="435"/>
    <col min="7937" max="7937" width="5.7109375" style="435" customWidth="1"/>
    <col min="7938" max="7938" width="68.5703125" style="435" customWidth="1"/>
    <col min="7939" max="7939" width="6.140625" style="435" customWidth="1"/>
    <col min="7940" max="7940" width="7" style="435" customWidth="1"/>
    <col min="7941" max="7941" width="9" style="435" customWidth="1"/>
    <col min="7942" max="7942" width="9.140625" style="435" customWidth="1"/>
    <col min="7943" max="7943" width="14.5703125" style="435" customWidth="1"/>
    <col min="7944" max="7944" width="9.5703125" style="435" customWidth="1"/>
    <col min="7945" max="7945" width="11.28515625" style="435" customWidth="1"/>
    <col min="7946" max="7946" width="12.140625" style="435" bestFit="1" customWidth="1"/>
    <col min="7947" max="7947" width="18.42578125" style="435" customWidth="1"/>
    <col min="7948" max="7948" width="13.5703125" style="435" customWidth="1"/>
    <col min="7949" max="7949" width="17.42578125" style="435" customWidth="1"/>
    <col min="7950" max="8192" width="9.140625" style="435"/>
    <col min="8193" max="8193" width="5.7109375" style="435" customWidth="1"/>
    <col min="8194" max="8194" width="68.5703125" style="435" customWidth="1"/>
    <col min="8195" max="8195" width="6.140625" style="435" customWidth="1"/>
    <col min="8196" max="8196" width="7" style="435" customWidth="1"/>
    <col min="8197" max="8197" width="9" style="435" customWidth="1"/>
    <col min="8198" max="8198" width="9.140625" style="435" customWidth="1"/>
    <col min="8199" max="8199" width="14.5703125" style="435" customWidth="1"/>
    <col min="8200" max="8200" width="9.5703125" style="435" customWidth="1"/>
    <col min="8201" max="8201" width="11.28515625" style="435" customWidth="1"/>
    <col min="8202" max="8202" width="12.140625" style="435" bestFit="1" customWidth="1"/>
    <col min="8203" max="8203" width="18.42578125" style="435" customWidth="1"/>
    <col min="8204" max="8204" width="13.5703125" style="435" customWidth="1"/>
    <col min="8205" max="8205" width="17.42578125" style="435" customWidth="1"/>
    <col min="8206" max="8448" width="9.140625" style="435"/>
    <col min="8449" max="8449" width="5.7109375" style="435" customWidth="1"/>
    <col min="8450" max="8450" width="68.5703125" style="435" customWidth="1"/>
    <col min="8451" max="8451" width="6.140625" style="435" customWidth="1"/>
    <col min="8452" max="8452" width="7" style="435" customWidth="1"/>
    <col min="8453" max="8453" width="9" style="435" customWidth="1"/>
    <col min="8454" max="8454" width="9.140625" style="435" customWidth="1"/>
    <col min="8455" max="8455" width="14.5703125" style="435" customWidth="1"/>
    <col min="8456" max="8456" width="9.5703125" style="435" customWidth="1"/>
    <col min="8457" max="8457" width="11.28515625" style="435" customWidth="1"/>
    <col min="8458" max="8458" width="12.140625" style="435" bestFit="1" customWidth="1"/>
    <col min="8459" max="8459" width="18.42578125" style="435" customWidth="1"/>
    <col min="8460" max="8460" width="13.5703125" style="435" customWidth="1"/>
    <col min="8461" max="8461" width="17.42578125" style="435" customWidth="1"/>
    <col min="8462" max="8704" width="9.140625" style="435"/>
    <col min="8705" max="8705" width="5.7109375" style="435" customWidth="1"/>
    <col min="8706" max="8706" width="68.5703125" style="435" customWidth="1"/>
    <col min="8707" max="8707" width="6.140625" style="435" customWidth="1"/>
    <col min="8708" max="8708" width="7" style="435" customWidth="1"/>
    <col min="8709" max="8709" width="9" style="435" customWidth="1"/>
    <col min="8710" max="8710" width="9.140625" style="435" customWidth="1"/>
    <col min="8711" max="8711" width="14.5703125" style="435" customWidth="1"/>
    <col min="8712" max="8712" width="9.5703125" style="435" customWidth="1"/>
    <col min="8713" max="8713" width="11.28515625" style="435" customWidth="1"/>
    <col min="8714" max="8714" width="12.140625" style="435" bestFit="1" customWidth="1"/>
    <col min="8715" max="8715" width="18.42578125" style="435" customWidth="1"/>
    <col min="8716" max="8716" width="13.5703125" style="435" customWidth="1"/>
    <col min="8717" max="8717" width="17.42578125" style="435" customWidth="1"/>
    <col min="8718" max="8960" width="9.140625" style="435"/>
    <col min="8961" max="8961" width="5.7109375" style="435" customWidth="1"/>
    <col min="8962" max="8962" width="68.5703125" style="435" customWidth="1"/>
    <col min="8963" max="8963" width="6.140625" style="435" customWidth="1"/>
    <col min="8964" max="8964" width="7" style="435" customWidth="1"/>
    <col min="8965" max="8965" width="9" style="435" customWidth="1"/>
    <col min="8966" max="8966" width="9.140625" style="435" customWidth="1"/>
    <col min="8967" max="8967" width="14.5703125" style="435" customWidth="1"/>
    <col min="8968" max="8968" width="9.5703125" style="435" customWidth="1"/>
    <col min="8969" max="8969" width="11.28515625" style="435" customWidth="1"/>
    <col min="8970" max="8970" width="12.140625" style="435" bestFit="1" customWidth="1"/>
    <col min="8971" max="8971" width="18.42578125" style="435" customWidth="1"/>
    <col min="8972" max="8972" width="13.5703125" style="435" customWidth="1"/>
    <col min="8973" max="8973" width="17.42578125" style="435" customWidth="1"/>
    <col min="8974" max="9216" width="9.140625" style="435"/>
    <col min="9217" max="9217" width="5.7109375" style="435" customWidth="1"/>
    <col min="9218" max="9218" width="68.5703125" style="435" customWidth="1"/>
    <col min="9219" max="9219" width="6.140625" style="435" customWidth="1"/>
    <col min="9220" max="9220" width="7" style="435" customWidth="1"/>
    <col min="9221" max="9221" width="9" style="435" customWidth="1"/>
    <col min="9222" max="9222" width="9.140625" style="435" customWidth="1"/>
    <col min="9223" max="9223" width="14.5703125" style="435" customWidth="1"/>
    <col min="9224" max="9224" width="9.5703125" style="435" customWidth="1"/>
    <col min="9225" max="9225" width="11.28515625" style="435" customWidth="1"/>
    <col min="9226" max="9226" width="12.140625" style="435" bestFit="1" customWidth="1"/>
    <col min="9227" max="9227" width="18.42578125" style="435" customWidth="1"/>
    <col min="9228" max="9228" width="13.5703125" style="435" customWidth="1"/>
    <col min="9229" max="9229" width="17.42578125" style="435" customWidth="1"/>
    <col min="9230" max="9472" width="9.140625" style="435"/>
    <col min="9473" max="9473" width="5.7109375" style="435" customWidth="1"/>
    <col min="9474" max="9474" width="68.5703125" style="435" customWidth="1"/>
    <col min="9475" max="9475" width="6.140625" style="435" customWidth="1"/>
    <col min="9476" max="9476" width="7" style="435" customWidth="1"/>
    <col min="9477" max="9477" width="9" style="435" customWidth="1"/>
    <col min="9478" max="9478" width="9.140625" style="435" customWidth="1"/>
    <col min="9479" max="9479" width="14.5703125" style="435" customWidth="1"/>
    <col min="9480" max="9480" width="9.5703125" style="435" customWidth="1"/>
    <col min="9481" max="9481" width="11.28515625" style="435" customWidth="1"/>
    <col min="9482" max="9482" width="12.140625" style="435" bestFit="1" customWidth="1"/>
    <col min="9483" max="9483" width="18.42578125" style="435" customWidth="1"/>
    <col min="9484" max="9484" width="13.5703125" style="435" customWidth="1"/>
    <col min="9485" max="9485" width="17.42578125" style="435" customWidth="1"/>
    <col min="9486" max="9728" width="9.140625" style="435"/>
    <col min="9729" max="9729" width="5.7109375" style="435" customWidth="1"/>
    <col min="9730" max="9730" width="68.5703125" style="435" customWidth="1"/>
    <col min="9731" max="9731" width="6.140625" style="435" customWidth="1"/>
    <col min="9732" max="9732" width="7" style="435" customWidth="1"/>
    <col min="9733" max="9733" width="9" style="435" customWidth="1"/>
    <col min="9734" max="9734" width="9.140625" style="435" customWidth="1"/>
    <col min="9735" max="9735" width="14.5703125" style="435" customWidth="1"/>
    <col min="9736" max="9736" width="9.5703125" style="435" customWidth="1"/>
    <col min="9737" max="9737" width="11.28515625" style="435" customWidth="1"/>
    <col min="9738" max="9738" width="12.140625" style="435" bestFit="1" customWidth="1"/>
    <col min="9739" max="9739" width="18.42578125" style="435" customWidth="1"/>
    <col min="9740" max="9740" width="13.5703125" style="435" customWidth="1"/>
    <col min="9741" max="9741" width="17.42578125" style="435" customWidth="1"/>
    <col min="9742" max="9984" width="9.140625" style="435"/>
    <col min="9985" max="9985" width="5.7109375" style="435" customWidth="1"/>
    <col min="9986" max="9986" width="68.5703125" style="435" customWidth="1"/>
    <col min="9987" max="9987" width="6.140625" style="435" customWidth="1"/>
    <col min="9988" max="9988" width="7" style="435" customWidth="1"/>
    <col min="9989" max="9989" width="9" style="435" customWidth="1"/>
    <col min="9990" max="9990" width="9.140625" style="435" customWidth="1"/>
    <col min="9991" max="9991" width="14.5703125" style="435" customWidth="1"/>
    <col min="9992" max="9992" width="9.5703125" style="435" customWidth="1"/>
    <col min="9993" max="9993" width="11.28515625" style="435" customWidth="1"/>
    <col min="9994" max="9994" width="12.140625" style="435" bestFit="1" customWidth="1"/>
    <col min="9995" max="9995" width="18.42578125" style="435" customWidth="1"/>
    <col min="9996" max="9996" width="13.5703125" style="435" customWidth="1"/>
    <col min="9997" max="9997" width="17.42578125" style="435" customWidth="1"/>
    <col min="9998" max="10240" width="9.140625" style="435"/>
    <col min="10241" max="10241" width="5.7109375" style="435" customWidth="1"/>
    <col min="10242" max="10242" width="68.5703125" style="435" customWidth="1"/>
    <col min="10243" max="10243" width="6.140625" style="435" customWidth="1"/>
    <col min="10244" max="10244" width="7" style="435" customWidth="1"/>
    <col min="10245" max="10245" width="9" style="435" customWidth="1"/>
    <col min="10246" max="10246" width="9.140625" style="435" customWidth="1"/>
    <col min="10247" max="10247" width="14.5703125" style="435" customWidth="1"/>
    <col min="10248" max="10248" width="9.5703125" style="435" customWidth="1"/>
    <col min="10249" max="10249" width="11.28515625" style="435" customWidth="1"/>
    <col min="10250" max="10250" width="12.140625" style="435" bestFit="1" customWidth="1"/>
    <col min="10251" max="10251" width="18.42578125" style="435" customWidth="1"/>
    <col min="10252" max="10252" width="13.5703125" style="435" customWidth="1"/>
    <col min="10253" max="10253" width="17.42578125" style="435" customWidth="1"/>
    <col min="10254" max="10496" width="9.140625" style="435"/>
    <col min="10497" max="10497" width="5.7109375" style="435" customWidth="1"/>
    <col min="10498" max="10498" width="68.5703125" style="435" customWidth="1"/>
    <col min="10499" max="10499" width="6.140625" style="435" customWidth="1"/>
    <col min="10500" max="10500" width="7" style="435" customWidth="1"/>
    <col min="10501" max="10501" width="9" style="435" customWidth="1"/>
    <col min="10502" max="10502" width="9.140625" style="435" customWidth="1"/>
    <col min="10503" max="10503" width="14.5703125" style="435" customWidth="1"/>
    <col min="10504" max="10504" width="9.5703125" style="435" customWidth="1"/>
    <col min="10505" max="10505" width="11.28515625" style="435" customWidth="1"/>
    <col min="10506" max="10506" width="12.140625" style="435" bestFit="1" customWidth="1"/>
    <col min="10507" max="10507" width="18.42578125" style="435" customWidth="1"/>
    <col min="10508" max="10508" width="13.5703125" style="435" customWidth="1"/>
    <col min="10509" max="10509" width="17.42578125" style="435" customWidth="1"/>
    <col min="10510" max="10752" width="9.140625" style="435"/>
    <col min="10753" max="10753" width="5.7109375" style="435" customWidth="1"/>
    <col min="10754" max="10754" width="68.5703125" style="435" customWidth="1"/>
    <col min="10755" max="10755" width="6.140625" style="435" customWidth="1"/>
    <col min="10756" max="10756" width="7" style="435" customWidth="1"/>
    <col min="10757" max="10757" width="9" style="435" customWidth="1"/>
    <col min="10758" max="10758" width="9.140625" style="435" customWidth="1"/>
    <col min="10759" max="10759" width="14.5703125" style="435" customWidth="1"/>
    <col min="10760" max="10760" width="9.5703125" style="435" customWidth="1"/>
    <col min="10761" max="10761" width="11.28515625" style="435" customWidth="1"/>
    <col min="10762" max="10762" width="12.140625" style="435" bestFit="1" customWidth="1"/>
    <col min="10763" max="10763" width="18.42578125" style="435" customWidth="1"/>
    <col min="10764" max="10764" width="13.5703125" style="435" customWidth="1"/>
    <col min="10765" max="10765" width="17.42578125" style="435" customWidth="1"/>
    <col min="10766" max="11008" width="9.140625" style="435"/>
    <col min="11009" max="11009" width="5.7109375" style="435" customWidth="1"/>
    <col min="11010" max="11010" width="68.5703125" style="435" customWidth="1"/>
    <col min="11011" max="11011" width="6.140625" style="435" customWidth="1"/>
    <col min="11012" max="11012" width="7" style="435" customWidth="1"/>
    <col min="11013" max="11013" width="9" style="435" customWidth="1"/>
    <col min="11014" max="11014" width="9.140625" style="435" customWidth="1"/>
    <col min="11015" max="11015" width="14.5703125" style="435" customWidth="1"/>
    <col min="11016" max="11016" width="9.5703125" style="435" customWidth="1"/>
    <col min="11017" max="11017" width="11.28515625" style="435" customWidth="1"/>
    <col min="11018" max="11018" width="12.140625" style="435" bestFit="1" customWidth="1"/>
    <col min="11019" max="11019" width="18.42578125" style="435" customWidth="1"/>
    <col min="11020" max="11020" width="13.5703125" style="435" customWidth="1"/>
    <col min="11021" max="11021" width="17.42578125" style="435" customWidth="1"/>
    <col min="11022" max="11264" width="9.140625" style="435"/>
    <col min="11265" max="11265" width="5.7109375" style="435" customWidth="1"/>
    <col min="11266" max="11266" width="68.5703125" style="435" customWidth="1"/>
    <col min="11267" max="11267" width="6.140625" style="435" customWidth="1"/>
    <col min="11268" max="11268" width="7" style="435" customWidth="1"/>
    <col min="11269" max="11269" width="9" style="435" customWidth="1"/>
    <col min="11270" max="11270" width="9.140625" style="435" customWidth="1"/>
    <col min="11271" max="11271" width="14.5703125" style="435" customWidth="1"/>
    <col min="11272" max="11272" width="9.5703125" style="435" customWidth="1"/>
    <col min="11273" max="11273" width="11.28515625" style="435" customWidth="1"/>
    <col min="11274" max="11274" width="12.140625" style="435" bestFit="1" customWidth="1"/>
    <col min="11275" max="11275" width="18.42578125" style="435" customWidth="1"/>
    <col min="11276" max="11276" width="13.5703125" style="435" customWidth="1"/>
    <col min="11277" max="11277" width="17.42578125" style="435" customWidth="1"/>
    <col min="11278" max="11520" width="9.140625" style="435"/>
    <col min="11521" max="11521" width="5.7109375" style="435" customWidth="1"/>
    <col min="11522" max="11522" width="68.5703125" style="435" customWidth="1"/>
    <col min="11523" max="11523" width="6.140625" style="435" customWidth="1"/>
    <col min="11524" max="11524" width="7" style="435" customWidth="1"/>
    <col min="11525" max="11525" width="9" style="435" customWidth="1"/>
    <col min="11526" max="11526" width="9.140625" style="435" customWidth="1"/>
    <col min="11527" max="11527" width="14.5703125" style="435" customWidth="1"/>
    <col min="11528" max="11528" width="9.5703125" style="435" customWidth="1"/>
    <col min="11529" max="11529" width="11.28515625" style="435" customWidth="1"/>
    <col min="11530" max="11530" width="12.140625" style="435" bestFit="1" customWidth="1"/>
    <col min="11531" max="11531" width="18.42578125" style="435" customWidth="1"/>
    <col min="11532" max="11532" width="13.5703125" style="435" customWidth="1"/>
    <col min="11533" max="11533" width="17.42578125" style="435" customWidth="1"/>
    <col min="11534" max="11776" width="9.140625" style="435"/>
    <col min="11777" max="11777" width="5.7109375" style="435" customWidth="1"/>
    <col min="11778" max="11778" width="68.5703125" style="435" customWidth="1"/>
    <col min="11779" max="11779" width="6.140625" style="435" customWidth="1"/>
    <col min="11780" max="11780" width="7" style="435" customWidth="1"/>
    <col min="11781" max="11781" width="9" style="435" customWidth="1"/>
    <col min="11782" max="11782" width="9.140625" style="435" customWidth="1"/>
    <col min="11783" max="11783" width="14.5703125" style="435" customWidth="1"/>
    <col min="11784" max="11784" width="9.5703125" style="435" customWidth="1"/>
    <col min="11785" max="11785" width="11.28515625" style="435" customWidth="1"/>
    <col min="11786" max="11786" width="12.140625" style="435" bestFit="1" customWidth="1"/>
    <col min="11787" max="11787" width="18.42578125" style="435" customWidth="1"/>
    <col min="11788" max="11788" width="13.5703125" style="435" customWidth="1"/>
    <col min="11789" max="11789" width="17.42578125" style="435" customWidth="1"/>
    <col min="11790" max="12032" width="9.140625" style="435"/>
    <col min="12033" max="12033" width="5.7109375" style="435" customWidth="1"/>
    <col min="12034" max="12034" width="68.5703125" style="435" customWidth="1"/>
    <col min="12035" max="12035" width="6.140625" style="435" customWidth="1"/>
    <col min="12036" max="12036" width="7" style="435" customWidth="1"/>
    <col min="12037" max="12037" width="9" style="435" customWidth="1"/>
    <col min="12038" max="12038" width="9.140625" style="435" customWidth="1"/>
    <col min="12039" max="12039" width="14.5703125" style="435" customWidth="1"/>
    <col min="12040" max="12040" width="9.5703125" style="435" customWidth="1"/>
    <col min="12041" max="12041" width="11.28515625" style="435" customWidth="1"/>
    <col min="12042" max="12042" width="12.140625" style="435" bestFit="1" customWidth="1"/>
    <col min="12043" max="12043" width="18.42578125" style="435" customWidth="1"/>
    <col min="12044" max="12044" width="13.5703125" style="435" customWidth="1"/>
    <col min="12045" max="12045" width="17.42578125" style="435" customWidth="1"/>
    <col min="12046" max="12288" width="9.140625" style="435"/>
    <col min="12289" max="12289" width="5.7109375" style="435" customWidth="1"/>
    <col min="12290" max="12290" width="68.5703125" style="435" customWidth="1"/>
    <col min="12291" max="12291" width="6.140625" style="435" customWidth="1"/>
    <col min="12292" max="12292" width="7" style="435" customWidth="1"/>
    <col min="12293" max="12293" width="9" style="435" customWidth="1"/>
    <col min="12294" max="12294" width="9.140625" style="435" customWidth="1"/>
    <col min="12295" max="12295" width="14.5703125" style="435" customWidth="1"/>
    <col min="12296" max="12296" width="9.5703125" style="435" customWidth="1"/>
    <col min="12297" max="12297" width="11.28515625" style="435" customWidth="1"/>
    <col min="12298" max="12298" width="12.140625" style="435" bestFit="1" customWidth="1"/>
    <col min="12299" max="12299" width="18.42578125" style="435" customWidth="1"/>
    <col min="12300" max="12300" width="13.5703125" style="435" customWidth="1"/>
    <col min="12301" max="12301" width="17.42578125" style="435" customWidth="1"/>
    <col min="12302" max="12544" width="9.140625" style="435"/>
    <col min="12545" max="12545" width="5.7109375" style="435" customWidth="1"/>
    <col min="12546" max="12546" width="68.5703125" style="435" customWidth="1"/>
    <col min="12547" max="12547" width="6.140625" style="435" customWidth="1"/>
    <col min="12548" max="12548" width="7" style="435" customWidth="1"/>
    <col min="12549" max="12549" width="9" style="435" customWidth="1"/>
    <col min="12550" max="12550" width="9.140625" style="435" customWidth="1"/>
    <col min="12551" max="12551" width="14.5703125" style="435" customWidth="1"/>
    <col min="12552" max="12552" width="9.5703125" style="435" customWidth="1"/>
    <col min="12553" max="12553" width="11.28515625" style="435" customWidth="1"/>
    <col min="12554" max="12554" width="12.140625" style="435" bestFit="1" customWidth="1"/>
    <col min="12555" max="12555" width="18.42578125" style="435" customWidth="1"/>
    <col min="12556" max="12556" width="13.5703125" style="435" customWidth="1"/>
    <col min="12557" max="12557" width="17.42578125" style="435" customWidth="1"/>
    <col min="12558" max="12800" width="9.140625" style="435"/>
    <col min="12801" max="12801" width="5.7109375" style="435" customWidth="1"/>
    <col min="12802" max="12802" width="68.5703125" style="435" customWidth="1"/>
    <col min="12803" max="12803" width="6.140625" style="435" customWidth="1"/>
    <col min="12804" max="12804" width="7" style="435" customWidth="1"/>
    <col min="12805" max="12805" width="9" style="435" customWidth="1"/>
    <col min="12806" max="12806" width="9.140625" style="435" customWidth="1"/>
    <col min="12807" max="12807" width="14.5703125" style="435" customWidth="1"/>
    <col min="12808" max="12808" width="9.5703125" style="435" customWidth="1"/>
    <col min="12809" max="12809" width="11.28515625" style="435" customWidth="1"/>
    <col min="12810" max="12810" width="12.140625" style="435" bestFit="1" customWidth="1"/>
    <col min="12811" max="12811" width="18.42578125" style="435" customWidth="1"/>
    <col min="12812" max="12812" width="13.5703125" style="435" customWidth="1"/>
    <col min="12813" max="12813" width="17.42578125" style="435" customWidth="1"/>
    <col min="12814" max="13056" width="9.140625" style="435"/>
    <col min="13057" max="13057" width="5.7109375" style="435" customWidth="1"/>
    <col min="13058" max="13058" width="68.5703125" style="435" customWidth="1"/>
    <col min="13059" max="13059" width="6.140625" style="435" customWidth="1"/>
    <col min="13060" max="13060" width="7" style="435" customWidth="1"/>
    <col min="13061" max="13061" width="9" style="435" customWidth="1"/>
    <col min="13062" max="13062" width="9.140625" style="435" customWidth="1"/>
    <col min="13063" max="13063" width="14.5703125" style="435" customWidth="1"/>
    <col min="13064" max="13064" width="9.5703125" style="435" customWidth="1"/>
    <col min="13065" max="13065" width="11.28515625" style="435" customWidth="1"/>
    <col min="13066" max="13066" width="12.140625" style="435" bestFit="1" customWidth="1"/>
    <col min="13067" max="13067" width="18.42578125" style="435" customWidth="1"/>
    <col min="13068" max="13068" width="13.5703125" style="435" customWidth="1"/>
    <col min="13069" max="13069" width="17.42578125" style="435" customWidth="1"/>
    <col min="13070" max="13312" width="9.140625" style="435"/>
    <col min="13313" max="13313" width="5.7109375" style="435" customWidth="1"/>
    <col min="13314" max="13314" width="68.5703125" style="435" customWidth="1"/>
    <col min="13315" max="13315" width="6.140625" style="435" customWidth="1"/>
    <col min="13316" max="13316" width="7" style="435" customWidth="1"/>
    <col min="13317" max="13317" width="9" style="435" customWidth="1"/>
    <col min="13318" max="13318" width="9.140625" style="435" customWidth="1"/>
    <col min="13319" max="13319" width="14.5703125" style="435" customWidth="1"/>
    <col min="13320" max="13320" width="9.5703125" style="435" customWidth="1"/>
    <col min="13321" max="13321" width="11.28515625" style="435" customWidth="1"/>
    <col min="13322" max="13322" width="12.140625" style="435" bestFit="1" customWidth="1"/>
    <col min="13323" max="13323" width="18.42578125" style="435" customWidth="1"/>
    <col min="13324" max="13324" width="13.5703125" style="435" customWidth="1"/>
    <col min="13325" max="13325" width="17.42578125" style="435" customWidth="1"/>
    <col min="13326" max="13568" width="9.140625" style="435"/>
    <col min="13569" max="13569" width="5.7109375" style="435" customWidth="1"/>
    <col min="13570" max="13570" width="68.5703125" style="435" customWidth="1"/>
    <col min="13571" max="13571" width="6.140625" style="435" customWidth="1"/>
    <col min="13572" max="13572" width="7" style="435" customWidth="1"/>
    <col min="13573" max="13573" width="9" style="435" customWidth="1"/>
    <col min="13574" max="13574" width="9.140625" style="435" customWidth="1"/>
    <col min="13575" max="13575" width="14.5703125" style="435" customWidth="1"/>
    <col min="13576" max="13576" width="9.5703125" style="435" customWidth="1"/>
    <col min="13577" max="13577" width="11.28515625" style="435" customWidth="1"/>
    <col min="13578" max="13578" width="12.140625" style="435" bestFit="1" customWidth="1"/>
    <col min="13579" max="13579" width="18.42578125" style="435" customWidth="1"/>
    <col min="13580" max="13580" width="13.5703125" style="435" customWidth="1"/>
    <col min="13581" max="13581" width="17.42578125" style="435" customWidth="1"/>
    <col min="13582" max="13824" width="9.140625" style="435"/>
    <col min="13825" max="13825" width="5.7109375" style="435" customWidth="1"/>
    <col min="13826" max="13826" width="68.5703125" style="435" customWidth="1"/>
    <col min="13827" max="13827" width="6.140625" style="435" customWidth="1"/>
    <col min="13828" max="13828" width="7" style="435" customWidth="1"/>
    <col min="13829" max="13829" width="9" style="435" customWidth="1"/>
    <col min="13830" max="13830" width="9.140625" style="435" customWidth="1"/>
    <col min="13831" max="13831" width="14.5703125" style="435" customWidth="1"/>
    <col min="13832" max="13832" width="9.5703125" style="435" customWidth="1"/>
    <col min="13833" max="13833" width="11.28515625" style="435" customWidth="1"/>
    <col min="13834" max="13834" width="12.140625" style="435" bestFit="1" customWidth="1"/>
    <col min="13835" max="13835" width="18.42578125" style="435" customWidth="1"/>
    <col min="13836" max="13836" width="13.5703125" style="435" customWidth="1"/>
    <col min="13837" max="13837" width="17.42578125" style="435" customWidth="1"/>
    <col min="13838" max="14080" width="9.140625" style="435"/>
    <col min="14081" max="14081" width="5.7109375" style="435" customWidth="1"/>
    <col min="14082" max="14082" width="68.5703125" style="435" customWidth="1"/>
    <col min="14083" max="14083" width="6.140625" style="435" customWidth="1"/>
    <col min="14084" max="14084" width="7" style="435" customWidth="1"/>
    <col min="14085" max="14085" width="9" style="435" customWidth="1"/>
    <col min="14086" max="14086" width="9.140625" style="435" customWidth="1"/>
    <col min="14087" max="14087" width="14.5703125" style="435" customWidth="1"/>
    <col min="14088" max="14088" width="9.5703125" style="435" customWidth="1"/>
    <col min="14089" max="14089" width="11.28515625" style="435" customWidth="1"/>
    <col min="14090" max="14090" width="12.140625" style="435" bestFit="1" customWidth="1"/>
    <col min="14091" max="14091" width="18.42578125" style="435" customWidth="1"/>
    <col min="14092" max="14092" width="13.5703125" style="435" customWidth="1"/>
    <col min="14093" max="14093" width="17.42578125" style="435" customWidth="1"/>
    <col min="14094" max="14336" width="9.140625" style="435"/>
    <col min="14337" max="14337" width="5.7109375" style="435" customWidth="1"/>
    <col min="14338" max="14338" width="68.5703125" style="435" customWidth="1"/>
    <col min="14339" max="14339" width="6.140625" style="435" customWidth="1"/>
    <col min="14340" max="14340" width="7" style="435" customWidth="1"/>
    <col min="14341" max="14341" width="9" style="435" customWidth="1"/>
    <col min="14342" max="14342" width="9.140625" style="435" customWidth="1"/>
    <col min="14343" max="14343" width="14.5703125" style="435" customWidth="1"/>
    <col min="14344" max="14344" width="9.5703125" style="435" customWidth="1"/>
    <col min="14345" max="14345" width="11.28515625" style="435" customWidth="1"/>
    <col min="14346" max="14346" width="12.140625" style="435" bestFit="1" customWidth="1"/>
    <col min="14347" max="14347" width="18.42578125" style="435" customWidth="1"/>
    <col min="14348" max="14348" width="13.5703125" style="435" customWidth="1"/>
    <col min="14349" max="14349" width="17.42578125" style="435" customWidth="1"/>
    <col min="14350" max="14592" width="9.140625" style="435"/>
    <col min="14593" max="14593" width="5.7109375" style="435" customWidth="1"/>
    <col min="14594" max="14594" width="68.5703125" style="435" customWidth="1"/>
    <col min="14595" max="14595" width="6.140625" style="435" customWidth="1"/>
    <col min="14596" max="14596" width="7" style="435" customWidth="1"/>
    <col min="14597" max="14597" width="9" style="435" customWidth="1"/>
    <col min="14598" max="14598" width="9.140625" style="435" customWidth="1"/>
    <col min="14599" max="14599" width="14.5703125" style="435" customWidth="1"/>
    <col min="14600" max="14600" width="9.5703125" style="435" customWidth="1"/>
    <col min="14601" max="14601" width="11.28515625" style="435" customWidth="1"/>
    <col min="14602" max="14602" width="12.140625" style="435" bestFit="1" customWidth="1"/>
    <col min="14603" max="14603" width="18.42578125" style="435" customWidth="1"/>
    <col min="14604" max="14604" width="13.5703125" style="435" customWidth="1"/>
    <col min="14605" max="14605" width="17.42578125" style="435" customWidth="1"/>
    <col min="14606" max="14848" width="9.140625" style="435"/>
    <col min="14849" max="14849" width="5.7109375" style="435" customWidth="1"/>
    <col min="14850" max="14850" width="68.5703125" style="435" customWidth="1"/>
    <col min="14851" max="14851" width="6.140625" style="435" customWidth="1"/>
    <col min="14852" max="14852" width="7" style="435" customWidth="1"/>
    <col min="14853" max="14853" width="9" style="435" customWidth="1"/>
    <col min="14854" max="14854" width="9.140625" style="435" customWidth="1"/>
    <col min="14855" max="14855" width="14.5703125" style="435" customWidth="1"/>
    <col min="14856" max="14856" width="9.5703125" style="435" customWidth="1"/>
    <col min="14857" max="14857" width="11.28515625" style="435" customWidth="1"/>
    <col min="14858" max="14858" width="12.140625" style="435" bestFit="1" customWidth="1"/>
    <col min="14859" max="14859" width="18.42578125" style="435" customWidth="1"/>
    <col min="14860" max="14860" width="13.5703125" style="435" customWidth="1"/>
    <col min="14861" max="14861" width="17.42578125" style="435" customWidth="1"/>
    <col min="14862" max="15104" width="9.140625" style="435"/>
    <col min="15105" max="15105" width="5.7109375" style="435" customWidth="1"/>
    <col min="15106" max="15106" width="68.5703125" style="435" customWidth="1"/>
    <col min="15107" max="15107" width="6.140625" style="435" customWidth="1"/>
    <col min="15108" max="15108" width="7" style="435" customWidth="1"/>
    <col min="15109" max="15109" width="9" style="435" customWidth="1"/>
    <col min="15110" max="15110" width="9.140625" style="435" customWidth="1"/>
    <col min="15111" max="15111" width="14.5703125" style="435" customWidth="1"/>
    <col min="15112" max="15112" width="9.5703125" style="435" customWidth="1"/>
    <col min="15113" max="15113" width="11.28515625" style="435" customWidth="1"/>
    <col min="15114" max="15114" width="12.140625" style="435" bestFit="1" customWidth="1"/>
    <col min="15115" max="15115" width="18.42578125" style="435" customWidth="1"/>
    <col min="15116" max="15116" width="13.5703125" style="435" customWidth="1"/>
    <col min="15117" max="15117" width="17.42578125" style="435" customWidth="1"/>
    <col min="15118" max="15360" width="9.140625" style="435"/>
    <col min="15361" max="15361" width="5.7109375" style="435" customWidth="1"/>
    <col min="15362" max="15362" width="68.5703125" style="435" customWidth="1"/>
    <col min="15363" max="15363" width="6.140625" style="435" customWidth="1"/>
    <col min="15364" max="15364" width="7" style="435" customWidth="1"/>
    <col min="15365" max="15365" width="9" style="435" customWidth="1"/>
    <col min="15366" max="15366" width="9.140625" style="435" customWidth="1"/>
    <col min="15367" max="15367" width="14.5703125" style="435" customWidth="1"/>
    <col min="15368" max="15368" width="9.5703125" style="435" customWidth="1"/>
    <col min="15369" max="15369" width="11.28515625" style="435" customWidth="1"/>
    <col min="15370" max="15370" width="12.140625" style="435" bestFit="1" customWidth="1"/>
    <col min="15371" max="15371" width="18.42578125" style="435" customWidth="1"/>
    <col min="15372" max="15372" width="13.5703125" style="435" customWidth="1"/>
    <col min="15373" max="15373" width="17.42578125" style="435" customWidth="1"/>
    <col min="15374" max="15616" width="9.140625" style="435"/>
    <col min="15617" max="15617" width="5.7109375" style="435" customWidth="1"/>
    <col min="15618" max="15618" width="68.5703125" style="435" customWidth="1"/>
    <col min="15619" max="15619" width="6.140625" style="435" customWidth="1"/>
    <col min="15620" max="15620" width="7" style="435" customWidth="1"/>
    <col min="15621" max="15621" width="9" style="435" customWidth="1"/>
    <col min="15622" max="15622" width="9.140625" style="435" customWidth="1"/>
    <col min="15623" max="15623" width="14.5703125" style="435" customWidth="1"/>
    <col min="15624" max="15624" width="9.5703125" style="435" customWidth="1"/>
    <col min="15625" max="15625" width="11.28515625" style="435" customWidth="1"/>
    <col min="15626" max="15626" width="12.140625" style="435" bestFit="1" customWidth="1"/>
    <col min="15627" max="15627" width="18.42578125" style="435" customWidth="1"/>
    <col min="15628" max="15628" width="13.5703125" style="435" customWidth="1"/>
    <col min="15629" max="15629" width="17.42578125" style="435" customWidth="1"/>
    <col min="15630" max="15872" width="9.140625" style="435"/>
    <col min="15873" max="15873" width="5.7109375" style="435" customWidth="1"/>
    <col min="15874" max="15874" width="68.5703125" style="435" customWidth="1"/>
    <col min="15875" max="15875" width="6.140625" style="435" customWidth="1"/>
    <col min="15876" max="15876" width="7" style="435" customWidth="1"/>
    <col min="15877" max="15877" width="9" style="435" customWidth="1"/>
    <col min="15878" max="15878" width="9.140625" style="435" customWidth="1"/>
    <col min="15879" max="15879" width="14.5703125" style="435" customWidth="1"/>
    <col min="15880" max="15880" width="9.5703125" style="435" customWidth="1"/>
    <col min="15881" max="15881" width="11.28515625" style="435" customWidth="1"/>
    <col min="15882" max="15882" width="12.140625" style="435" bestFit="1" customWidth="1"/>
    <col min="15883" max="15883" width="18.42578125" style="435" customWidth="1"/>
    <col min="15884" max="15884" width="13.5703125" style="435" customWidth="1"/>
    <col min="15885" max="15885" width="17.42578125" style="435" customWidth="1"/>
    <col min="15886" max="16128" width="9.140625" style="435"/>
    <col min="16129" max="16129" width="5.7109375" style="435" customWidth="1"/>
    <col min="16130" max="16130" width="68.5703125" style="435" customWidth="1"/>
    <col min="16131" max="16131" width="6.140625" style="435" customWidth="1"/>
    <col min="16132" max="16132" width="7" style="435" customWidth="1"/>
    <col min="16133" max="16133" width="9" style="435" customWidth="1"/>
    <col min="16134" max="16134" width="9.140625" style="435" customWidth="1"/>
    <col min="16135" max="16135" width="14.5703125" style="435" customWidth="1"/>
    <col min="16136" max="16136" width="9.5703125" style="435" customWidth="1"/>
    <col min="16137" max="16137" width="11.28515625" style="435" customWidth="1"/>
    <col min="16138" max="16138" width="12.140625" style="435" bestFit="1" customWidth="1"/>
    <col min="16139" max="16139" width="18.42578125" style="435" customWidth="1"/>
    <col min="16140" max="16140" width="13.5703125" style="435" customWidth="1"/>
    <col min="16141" max="16141" width="17.42578125" style="435" customWidth="1"/>
    <col min="16142" max="16384" width="9.140625" style="435"/>
  </cols>
  <sheetData>
    <row r="1" spans="1:14">
      <c r="A1" s="752" t="s">
        <v>191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</row>
    <row r="2" spans="1:14">
      <c r="A2" s="752"/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</row>
    <row r="3" spans="1:14" ht="6" customHeight="1">
      <c r="A3" s="752"/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</row>
    <row r="4" spans="1:14" ht="6" hidden="1" customHeight="1">
      <c r="A4" s="752"/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</row>
    <row r="5" spans="1:14" s="436" customFormat="1" ht="15" hidden="1" customHeight="1">
      <c r="A5" s="752"/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</row>
    <row r="6" spans="1:14" s="436" customFormat="1" ht="15" hidden="1" customHeight="1">
      <c r="A6" s="752"/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</row>
    <row r="7" spans="1:14" s="436" customFormat="1" ht="15.75" hidden="1">
      <c r="A7" s="752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</row>
    <row r="8" spans="1:14" s="437" customFormat="1" ht="11.25">
      <c r="A8" s="753" t="s">
        <v>192</v>
      </c>
      <c r="B8" s="753" t="s">
        <v>193</v>
      </c>
      <c r="C8" s="753" t="s">
        <v>190</v>
      </c>
      <c r="D8" s="754" t="s">
        <v>194</v>
      </c>
      <c r="E8" s="755" t="s">
        <v>195</v>
      </c>
      <c r="F8" s="755"/>
      <c r="G8" s="755" t="s">
        <v>196</v>
      </c>
      <c r="H8" s="755" t="s">
        <v>197</v>
      </c>
      <c r="I8" s="755"/>
      <c r="J8" s="756" t="s">
        <v>196</v>
      </c>
      <c r="K8" s="756" t="s">
        <v>198</v>
      </c>
      <c r="L8" s="756" t="s">
        <v>196</v>
      </c>
      <c r="M8" s="756" t="s">
        <v>199</v>
      </c>
    </row>
    <row r="9" spans="1:14" s="438" customFormat="1" ht="10.5">
      <c r="A9" s="753"/>
      <c r="B9" s="753"/>
      <c r="C9" s="753"/>
      <c r="D9" s="754"/>
      <c r="E9" s="755"/>
      <c r="F9" s="755"/>
      <c r="G9" s="755"/>
      <c r="H9" s="755"/>
      <c r="I9" s="755"/>
      <c r="J9" s="756"/>
      <c r="K9" s="756"/>
      <c r="L9" s="756"/>
      <c r="M9" s="756"/>
    </row>
    <row r="10" spans="1:14" s="446" customFormat="1" ht="35.25" customHeight="1">
      <c r="A10" s="439" t="s">
        <v>251</v>
      </c>
      <c r="B10" s="440" t="s">
        <v>247</v>
      </c>
      <c r="C10" s="441" t="s">
        <v>200</v>
      </c>
      <c r="D10" s="442">
        <v>1</v>
      </c>
      <c r="E10" s="757" t="s">
        <v>201</v>
      </c>
      <c r="F10" s="758"/>
      <c r="G10" s="443">
        <v>25.82</v>
      </c>
      <c r="H10" s="759" t="s">
        <v>202</v>
      </c>
      <c r="I10" s="760"/>
      <c r="J10" s="443">
        <v>13.27</v>
      </c>
      <c r="K10" s="444" t="s">
        <v>203</v>
      </c>
      <c r="L10" s="443">
        <v>13.65</v>
      </c>
      <c r="M10" s="445">
        <f>TRUNC((G10+J10+L10),2) /3</f>
        <v>17.580000000000002</v>
      </c>
    </row>
    <row r="11" spans="1:14" s="446" customFormat="1" ht="28.5" customHeight="1">
      <c r="A11" s="439" t="s">
        <v>9</v>
      </c>
      <c r="B11" s="440" t="s">
        <v>204</v>
      </c>
      <c r="C11" s="441" t="s">
        <v>200</v>
      </c>
      <c r="D11" s="442">
        <v>1</v>
      </c>
      <c r="E11" s="757" t="s">
        <v>201</v>
      </c>
      <c r="F11" s="758"/>
      <c r="G11" s="443">
        <v>38.9</v>
      </c>
      <c r="H11" s="759" t="s">
        <v>205</v>
      </c>
      <c r="I11" s="760"/>
      <c r="J11" s="443">
        <v>33.380000000000003</v>
      </c>
      <c r="K11" s="444" t="s">
        <v>203</v>
      </c>
      <c r="L11" s="443">
        <v>21.95</v>
      </c>
      <c r="M11" s="445">
        <f>TRUNC((G11+J11+L11),2) /3</f>
        <v>31.41</v>
      </c>
      <c r="N11" s="447"/>
    </row>
    <row r="12" spans="1:14" ht="17.25" customHeight="1">
      <c r="A12" s="439" t="s">
        <v>81</v>
      </c>
      <c r="B12" s="440" t="s">
        <v>206</v>
      </c>
      <c r="C12" s="441" t="s">
        <v>200</v>
      </c>
      <c r="D12" s="448">
        <v>1</v>
      </c>
      <c r="E12" s="759" t="s">
        <v>207</v>
      </c>
      <c r="F12" s="760"/>
      <c r="G12" s="443">
        <v>48.2</v>
      </c>
      <c r="H12" s="759" t="s">
        <v>205</v>
      </c>
      <c r="I12" s="760"/>
      <c r="J12" s="443">
        <v>37.83</v>
      </c>
      <c r="K12" s="444" t="s">
        <v>208</v>
      </c>
      <c r="L12" s="443">
        <v>45.47</v>
      </c>
      <c r="M12" s="445">
        <f>TRUNC((G12+J12+L12),2) /3</f>
        <v>43.833333333333336</v>
      </c>
    </row>
    <row r="13" spans="1:14" s="446" customFormat="1">
      <c r="A13" s="439" t="s">
        <v>66</v>
      </c>
      <c r="B13" s="440" t="s">
        <v>248</v>
      </c>
      <c r="C13" s="441" t="s">
        <v>200</v>
      </c>
      <c r="D13" s="442">
        <v>1</v>
      </c>
      <c r="E13" s="757" t="s">
        <v>201</v>
      </c>
      <c r="F13" s="758"/>
      <c r="G13" s="443">
        <v>36</v>
      </c>
      <c r="H13" s="759" t="s">
        <v>205</v>
      </c>
      <c r="I13" s="760"/>
      <c r="J13" s="443">
        <v>58.79</v>
      </c>
      <c r="K13" s="444" t="s">
        <v>203</v>
      </c>
      <c r="L13" s="443">
        <v>28.85</v>
      </c>
      <c r="M13" s="445">
        <f t="shared" ref="M13:M30" si="0">TRUNC((G13+J13+L13),2) /3</f>
        <v>41.213333333333331</v>
      </c>
    </row>
    <row r="14" spans="1:14" s="446" customFormat="1">
      <c r="A14" s="439" t="s">
        <v>82</v>
      </c>
      <c r="B14" s="440" t="s">
        <v>209</v>
      </c>
      <c r="C14" s="441" t="s">
        <v>200</v>
      </c>
      <c r="D14" s="442">
        <v>1</v>
      </c>
      <c r="E14" s="757" t="s">
        <v>201</v>
      </c>
      <c r="F14" s="758"/>
      <c r="G14" s="443">
        <v>107.88</v>
      </c>
      <c r="H14" s="759" t="s">
        <v>205</v>
      </c>
      <c r="I14" s="760"/>
      <c r="J14" s="443">
        <v>81.92</v>
      </c>
      <c r="K14" s="444" t="s">
        <v>208</v>
      </c>
      <c r="L14" s="443">
        <v>67.25</v>
      </c>
      <c r="M14" s="445">
        <f t="shared" si="0"/>
        <v>85.683333333333337</v>
      </c>
    </row>
    <row r="15" spans="1:14" s="446" customFormat="1">
      <c r="A15" s="439" t="s">
        <v>170</v>
      </c>
      <c r="B15" s="440" t="s">
        <v>210</v>
      </c>
      <c r="C15" s="441" t="s">
        <v>200</v>
      </c>
      <c r="D15" s="442">
        <v>1</v>
      </c>
      <c r="E15" s="757" t="s">
        <v>201</v>
      </c>
      <c r="F15" s="758"/>
      <c r="G15" s="443">
        <v>99.99</v>
      </c>
      <c r="H15" s="759" t="s">
        <v>205</v>
      </c>
      <c r="I15" s="760"/>
      <c r="J15" s="443">
        <v>85.77</v>
      </c>
      <c r="K15" s="444" t="s">
        <v>203</v>
      </c>
      <c r="L15" s="443">
        <v>39.68</v>
      </c>
      <c r="M15" s="445">
        <f t="shared" si="0"/>
        <v>75.146666666666661</v>
      </c>
    </row>
    <row r="16" spans="1:14" s="446" customFormat="1">
      <c r="A16" s="439" t="s">
        <v>252</v>
      </c>
      <c r="B16" s="440" t="s">
        <v>211</v>
      </c>
      <c r="C16" s="441" t="s">
        <v>200</v>
      </c>
      <c r="D16" s="442">
        <v>1</v>
      </c>
      <c r="E16" s="757" t="s">
        <v>201</v>
      </c>
      <c r="F16" s="758"/>
      <c r="G16" s="443">
        <v>105.99</v>
      </c>
      <c r="H16" s="759" t="s">
        <v>205</v>
      </c>
      <c r="I16" s="760"/>
      <c r="J16" s="443">
        <v>105.42</v>
      </c>
      <c r="K16" s="444" t="s">
        <v>208</v>
      </c>
      <c r="L16" s="443">
        <v>86.65</v>
      </c>
      <c r="M16" s="445">
        <f t="shared" si="0"/>
        <v>99.353333333333339</v>
      </c>
    </row>
    <row r="17" spans="1:13" s="446" customFormat="1">
      <c r="A17" s="439" t="s">
        <v>253</v>
      </c>
      <c r="B17" s="440" t="s">
        <v>212</v>
      </c>
      <c r="C17" s="441" t="s">
        <v>200</v>
      </c>
      <c r="D17" s="442">
        <v>1</v>
      </c>
      <c r="E17" s="759" t="s">
        <v>213</v>
      </c>
      <c r="F17" s="760"/>
      <c r="G17" s="443">
        <v>62.1</v>
      </c>
      <c r="H17" s="759" t="s">
        <v>205</v>
      </c>
      <c r="I17" s="760"/>
      <c r="J17" s="443">
        <v>105.42</v>
      </c>
      <c r="K17" s="444" t="s">
        <v>208</v>
      </c>
      <c r="L17" s="443">
        <v>82.72</v>
      </c>
      <c r="M17" s="445">
        <f t="shared" si="0"/>
        <v>83.413333333333341</v>
      </c>
    </row>
    <row r="18" spans="1:13" ht="22.5" customHeight="1">
      <c r="A18" s="439" t="s">
        <v>254</v>
      </c>
      <c r="B18" s="440" t="s">
        <v>214</v>
      </c>
      <c r="C18" s="441" t="s">
        <v>200</v>
      </c>
      <c r="D18" s="448">
        <v>1</v>
      </c>
      <c r="E18" s="759" t="s">
        <v>215</v>
      </c>
      <c r="F18" s="760"/>
      <c r="G18" s="443">
        <v>199.9</v>
      </c>
      <c r="H18" s="759" t="s">
        <v>216</v>
      </c>
      <c r="I18" s="760"/>
      <c r="J18" s="443">
        <v>148</v>
      </c>
      <c r="K18" s="444" t="s">
        <v>208</v>
      </c>
      <c r="L18" s="443">
        <v>122.37</v>
      </c>
      <c r="M18" s="445">
        <f t="shared" si="0"/>
        <v>156.75666666666666</v>
      </c>
    </row>
    <row r="19" spans="1:13">
      <c r="A19" s="439" t="s">
        <v>255</v>
      </c>
      <c r="B19" s="440" t="s">
        <v>217</v>
      </c>
      <c r="C19" s="441" t="s">
        <v>200</v>
      </c>
      <c r="D19" s="448">
        <v>1</v>
      </c>
      <c r="E19" s="759" t="s">
        <v>201</v>
      </c>
      <c r="F19" s="760"/>
      <c r="G19" s="443">
        <v>9.77</v>
      </c>
      <c r="H19" s="759" t="s">
        <v>205</v>
      </c>
      <c r="I19" s="760"/>
      <c r="J19" s="443">
        <v>7.23</v>
      </c>
      <c r="K19" s="444" t="s">
        <v>208</v>
      </c>
      <c r="L19" s="443">
        <v>5.94</v>
      </c>
      <c r="M19" s="445">
        <f t="shared" si="0"/>
        <v>7.6466666666666674</v>
      </c>
    </row>
    <row r="20" spans="1:13">
      <c r="A20" s="439" t="s">
        <v>256</v>
      </c>
      <c r="B20" s="440" t="s">
        <v>218</v>
      </c>
      <c r="C20" s="441" t="s">
        <v>200</v>
      </c>
      <c r="D20" s="448">
        <v>1</v>
      </c>
      <c r="E20" s="759" t="s">
        <v>219</v>
      </c>
      <c r="F20" s="760"/>
      <c r="G20" s="443">
        <v>1703</v>
      </c>
      <c r="H20" s="759" t="s">
        <v>220</v>
      </c>
      <c r="I20" s="760"/>
      <c r="J20" s="443">
        <v>1250</v>
      </c>
      <c r="K20" s="444" t="s">
        <v>221</v>
      </c>
      <c r="L20" s="443">
        <v>1365</v>
      </c>
      <c r="M20" s="445">
        <f t="shared" si="0"/>
        <v>1439.3333333333333</v>
      </c>
    </row>
    <row r="21" spans="1:13">
      <c r="A21" s="439" t="s">
        <v>257</v>
      </c>
      <c r="B21" s="440" t="s">
        <v>222</v>
      </c>
      <c r="C21" s="441" t="s">
        <v>200</v>
      </c>
      <c r="D21" s="448">
        <v>1</v>
      </c>
      <c r="E21" s="759" t="s">
        <v>219</v>
      </c>
      <c r="F21" s="760"/>
      <c r="G21" s="443">
        <v>575</v>
      </c>
      <c r="H21" s="759" t="s">
        <v>220</v>
      </c>
      <c r="I21" s="760"/>
      <c r="J21" s="443">
        <v>610</v>
      </c>
      <c r="K21" s="444" t="s">
        <v>223</v>
      </c>
      <c r="L21" s="443">
        <v>587</v>
      </c>
      <c r="M21" s="445">
        <f t="shared" si="0"/>
        <v>590.66666666666663</v>
      </c>
    </row>
    <row r="22" spans="1:13">
      <c r="A22" s="439" t="s">
        <v>258</v>
      </c>
      <c r="B22" s="440" t="s">
        <v>224</v>
      </c>
      <c r="C22" s="441" t="s">
        <v>200</v>
      </c>
      <c r="D22" s="448">
        <v>1</v>
      </c>
      <c r="E22" s="759" t="s">
        <v>219</v>
      </c>
      <c r="F22" s="760"/>
      <c r="G22" s="443">
        <v>790.7</v>
      </c>
      <c r="H22" s="759" t="s">
        <v>220</v>
      </c>
      <c r="I22" s="760"/>
      <c r="J22" s="443">
        <v>740</v>
      </c>
      <c r="K22" s="444" t="s">
        <v>223</v>
      </c>
      <c r="L22" s="443">
        <v>771</v>
      </c>
      <c r="M22" s="445">
        <f t="shared" si="0"/>
        <v>767.23333333333323</v>
      </c>
    </row>
    <row r="23" spans="1:13">
      <c r="A23" s="439" t="s">
        <v>259</v>
      </c>
      <c r="B23" s="440" t="s">
        <v>225</v>
      </c>
      <c r="C23" s="441" t="s">
        <v>200</v>
      </c>
      <c r="D23" s="448">
        <v>1</v>
      </c>
      <c r="E23" s="759" t="s">
        <v>219</v>
      </c>
      <c r="F23" s="760"/>
      <c r="G23" s="443">
        <v>1085</v>
      </c>
      <c r="H23" s="759" t="s">
        <v>220</v>
      </c>
      <c r="I23" s="760"/>
      <c r="J23" s="443">
        <v>1000</v>
      </c>
      <c r="K23" s="444" t="s">
        <v>223</v>
      </c>
      <c r="L23" s="443">
        <v>1077</v>
      </c>
      <c r="M23" s="445">
        <f t="shared" si="0"/>
        <v>1054</v>
      </c>
    </row>
    <row r="24" spans="1:13" ht="25.5">
      <c r="A24" s="439" t="s">
        <v>260</v>
      </c>
      <c r="B24" s="440" t="s">
        <v>226</v>
      </c>
      <c r="C24" s="441" t="s">
        <v>200</v>
      </c>
      <c r="D24" s="448">
        <v>1</v>
      </c>
      <c r="E24" s="759" t="s">
        <v>215</v>
      </c>
      <c r="F24" s="760"/>
      <c r="G24" s="443">
        <v>189.9</v>
      </c>
      <c r="H24" s="759" t="s">
        <v>205</v>
      </c>
      <c r="I24" s="760"/>
      <c r="J24" s="443">
        <v>94.55</v>
      </c>
      <c r="K24" s="444" t="s">
        <v>227</v>
      </c>
      <c r="L24" s="443">
        <v>295.98</v>
      </c>
      <c r="M24" s="445">
        <f t="shared" si="0"/>
        <v>193.47666666666666</v>
      </c>
    </row>
    <row r="25" spans="1:13" ht="12.75" customHeight="1">
      <c r="A25" s="439" t="s">
        <v>261</v>
      </c>
      <c r="B25" s="440" t="s">
        <v>228</v>
      </c>
      <c r="C25" s="441" t="s">
        <v>200</v>
      </c>
      <c r="D25" s="448">
        <v>1</v>
      </c>
      <c r="E25" s="759" t="s">
        <v>229</v>
      </c>
      <c r="F25" s="760"/>
      <c r="G25" s="443">
        <v>743.73</v>
      </c>
      <c r="H25" s="759" t="s">
        <v>230</v>
      </c>
      <c r="I25" s="760"/>
      <c r="J25" s="443">
        <v>617.79999999999995</v>
      </c>
      <c r="K25" s="444" t="s">
        <v>203</v>
      </c>
      <c r="L25" s="443">
        <v>595.20000000000005</v>
      </c>
      <c r="M25" s="445">
        <f t="shared" si="0"/>
        <v>652.24333333333334</v>
      </c>
    </row>
    <row r="26" spans="1:13" ht="12.75" customHeight="1">
      <c r="A26" s="439" t="s">
        <v>262</v>
      </c>
      <c r="B26" s="440" t="s">
        <v>231</v>
      </c>
      <c r="C26" s="441" t="s">
        <v>200</v>
      </c>
      <c r="D26" s="448">
        <v>1</v>
      </c>
      <c r="E26" s="759" t="s">
        <v>229</v>
      </c>
      <c r="F26" s="760"/>
      <c r="G26" s="443">
        <v>1098.2</v>
      </c>
      <c r="H26" s="759" t="s">
        <v>230</v>
      </c>
      <c r="I26" s="760"/>
      <c r="J26" s="443">
        <v>985.2</v>
      </c>
      <c r="K26" s="444" t="s">
        <v>203</v>
      </c>
      <c r="L26" s="443">
        <v>1125.3</v>
      </c>
      <c r="M26" s="445">
        <f t="shared" si="0"/>
        <v>1069.5666666666666</v>
      </c>
    </row>
    <row r="27" spans="1:13">
      <c r="A27" s="439" t="s">
        <v>263</v>
      </c>
      <c r="B27" s="440" t="s">
        <v>232</v>
      </c>
      <c r="C27" s="441" t="s">
        <v>200</v>
      </c>
      <c r="D27" s="448">
        <v>1</v>
      </c>
      <c r="E27" s="759" t="s">
        <v>229</v>
      </c>
      <c r="F27" s="760"/>
      <c r="G27" s="443">
        <v>1250</v>
      </c>
      <c r="H27" s="759" t="s">
        <v>230</v>
      </c>
      <c r="I27" s="760"/>
      <c r="J27" s="443">
        <v>1110.3</v>
      </c>
      <c r="K27" s="444" t="s">
        <v>203</v>
      </c>
      <c r="L27" s="443">
        <v>1285.45</v>
      </c>
      <c r="M27" s="445">
        <f t="shared" si="0"/>
        <v>1215.25</v>
      </c>
    </row>
    <row r="28" spans="1:13">
      <c r="A28" s="439" t="s">
        <v>264</v>
      </c>
      <c r="B28" s="440" t="s">
        <v>233</v>
      </c>
      <c r="C28" s="441" t="s">
        <v>200</v>
      </c>
      <c r="D28" s="448">
        <v>1</v>
      </c>
      <c r="E28" s="759" t="s">
        <v>201</v>
      </c>
      <c r="F28" s="760"/>
      <c r="G28" s="443">
        <v>83</v>
      </c>
      <c r="H28" s="759" t="s">
        <v>205</v>
      </c>
      <c r="I28" s="760"/>
      <c r="J28" s="443">
        <v>316.82</v>
      </c>
      <c r="K28" s="444" t="s">
        <v>208</v>
      </c>
      <c r="L28" s="443">
        <v>220.27</v>
      </c>
      <c r="M28" s="445">
        <f t="shared" si="0"/>
        <v>206.69666666666669</v>
      </c>
    </row>
    <row r="29" spans="1:13">
      <c r="A29" s="439" t="s">
        <v>265</v>
      </c>
      <c r="B29" s="440" t="s">
        <v>234</v>
      </c>
      <c r="C29" s="441" t="s">
        <v>200</v>
      </c>
      <c r="D29" s="448">
        <v>1</v>
      </c>
      <c r="E29" s="759" t="s">
        <v>201</v>
      </c>
      <c r="F29" s="760"/>
      <c r="G29" s="443">
        <v>98</v>
      </c>
      <c r="H29" s="759" t="s">
        <v>205</v>
      </c>
      <c r="I29" s="760"/>
      <c r="J29" s="443">
        <v>425.84</v>
      </c>
      <c r="K29" s="444" t="s">
        <v>208</v>
      </c>
      <c r="L29" s="443">
        <v>363.86</v>
      </c>
      <c r="M29" s="445">
        <f t="shared" si="0"/>
        <v>295.90000000000003</v>
      </c>
    </row>
    <row r="30" spans="1:13">
      <c r="A30" s="439" t="s">
        <v>266</v>
      </c>
      <c r="B30" s="440" t="s">
        <v>235</v>
      </c>
      <c r="C30" s="441" t="s">
        <v>200</v>
      </c>
      <c r="D30" s="448">
        <v>1</v>
      </c>
      <c r="E30" s="759" t="s">
        <v>215</v>
      </c>
      <c r="F30" s="760"/>
      <c r="G30" s="443">
        <v>47.49</v>
      </c>
      <c r="H30" s="759" t="s">
        <v>227</v>
      </c>
      <c r="I30" s="760"/>
      <c r="J30" s="443">
        <v>53.76</v>
      </c>
      <c r="K30" s="444" t="s">
        <v>208</v>
      </c>
      <c r="L30" s="443">
        <v>65.209999999999994</v>
      </c>
      <c r="M30" s="445">
        <f t="shared" si="0"/>
        <v>55.486666666666672</v>
      </c>
    </row>
    <row r="31" spans="1:13">
      <c r="A31" s="439" t="s">
        <v>267</v>
      </c>
      <c r="B31" s="440" t="s">
        <v>236</v>
      </c>
      <c r="C31" s="441" t="s">
        <v>200</v>
      </c>
      <c r="D31" s="448">
        <v>1</v>
      </c>
      <c r="E31" s="759" t="s">
        <v>215</v>
      </c>
      <c r="F31" s="760"/>
      <c r="G31" s="443">
        <v>50.31</v>
      </c>
      <c r="H31" s="759" t="s">
        <v>227</v>
      </c>
      <c r="I31" s="760"/>
      <c r="J31" s="443">
        <v>69.22</v>
      </c>
      <c r="K31" s="444"/>
      <c r="L31" s="443"/>
      <c r="M31" s="445">
        <f>TRUNC((G31+J31+L31),2) /2</f>
        <v>59.765000000000001</v>
      </c>
    </row>
    <row r="32" spans="1:13">
      <c r="A32" s="439" t="s">
        <v>268</v>
      </c>
      <c r="B32" s="440" t="s">
        <v>237</v>
      </c>
      <c r="C32" s="441" t="s">
        <v>200</v>
      </c>
      <c r="D32" s="448">
        <v>1</v>
      </c>
      <c r="E32" s="759" t="s">
        <v>215</v>
      </c>
      <c r="F32" s="760"/>
      <c r="G32" s="443">
        <v>54.17</v>
      </c>
      <c r="H32" s="759" t="s">
        <v>227</v>
      </c>
      <c r="I32" s="760"/>
      <c r="J32" s="443">
        <v>66.739999999999995</v>
      </c>
      <c r="K32" s="444"/>
      <c r="L32" s="443"/>
      <c r="M32" s="445">
        <f>TRUNC((G32+J32+L32),2) /2</f>
        <v>60.454999999999998</v>
      </c>
    </row>
    <row r="33" spans="1:13">
      <c r="A33" s="439" t="s">
        <v>269</v>
      </c>
      <c r="B33" s="440" t="s">
        <v>238</v>
      </c>
      <c r="C33" s="441" t="s">
        <v>200</v>
      </c>
      <c r="D33" s="448">
        <v>1</v>
      </c>
      <c r="E33" s="759" t="s">
        <v>215</v>
      </c>
      <c r="F33" s="760"/>
      <c r="G33" s="443">
        <v>52.82</v>
      </c>
      <c r="H33" s="759" t="s">
        <v>205</v>
      </c>
      <c r="I33" s="760"/>
      <c r="J33" s="443">
        <v>66.55</v>
      </c>
      <c r="K33" s="444"/>
      <c r="L33" s="443"/>
      <c r="M33" s="445">
        <f>TRUNC((G33+J33+L33),2) /2</f>
        <v>59.685000000000002</v>
      </c>
    </row>
    <row r="34" spans="1:13">
      <c r="A34" s="439" t="s">
        <v>270</v>
      </c>
      <c r="B34" s="440" t="s">
        <v>239</v>
      </c>
      <c r="C34" s="441" t="s">
        <v>200</v>
      </c>
      <c r="D34" s="448">
        <v>1</v>
      </c>
      <c r="E34" s="759" t="s">
        <v>215</v>
      </c>
      <c r="F34" s="760"/>
      <c r="G34" s="443">
        <v>62.1</v>
      </c>
      <c r="H34" s="759" t="s">
        <v>205</v>
      </c>
      <c r="I34" s="760"/>
      <c r="J34" s="443">
        <v>87.13</v>
      </c>
      <c r="K34" s="444"/>
      <c r="L34" s="443"/>
      <c r="M34" s="445">
        <f>TRUNC((G34+J34+L34),2) /2</f>
        <v>74.614999999999995</v>
      </c>
    </row>
    <row r="35" spans="1:13">
      <c r="A35" s="439" t="s">
        <v>271</v>
      </c>
      <c r="B35" s="440" t="s">
        <v>240</v>
      </c>
      <c r="C35" s="441" t="s">
        <v>200</v>
      </c>
      <c r="D35" s="448">
        <v>1</v>
      </c>
      <c r="E35" s="759" t="s">
        <v>215</v>
      </c>
      <c r="F35" s="760"/>
      <c r="G35" s="443">
        <v>380</v>
      </c>
      <c r="H35" s="759" t="s">
        <v>205</v>
      </c>
      <c r="I35" s="760"/>
      <c r="J35" s="443">
        <v>491.46</v>
      </c>
      <c r="K35" s="444"/>
      <c r="L35" s="443"/>
      <c r="M35" s="445">
        <f>TRUNC((G35+J35+L35),2) /2</f>
        <v>435.73</v>
      </c>
    </row>
    <row r="36" spans="1:13">
      <c r="A36" s="439" t="s">
        <v>272</v>
      </c>
      <c r="B36" s="440" t="s">
        <v>241</v>
      </c>
      <c r="C36" s="441" t="s">
        <v>200</v>
      </c>
      <c r="D36" s="448">
        <v>1</v>
      </c>
      <c r="E36" s="759"/>
      <c r="F36" s="760"/>
      <c r="G36" s="443"/>
      <c r="H36" s="759" t="s">
        <v>205</v>
      </c>
      <c r="I36" s="760"/>
      <c r="J36" s="443">
        <v>855.48</v>
      </c>
      <c r="K36" s="444"/>
      <c r="L36" s="443"/>
      <c r="M36" s="445">
        <f>J36</f>
        <v>855.48</v>
      </c>
    </row>
    <row r="37" spans="1:13">
      <c r="A37" s="439" t="s">
        <v>273</v>
      </c>
      <c r="B37" s="440" t="s">
        <v>537</v>
      </c>
      <c r="C37" s="441" t="s">
        <v>200</v>
      </c>
      <c r="D37" s="448">
        <v>1</v>
      </c>
      <c r="E37" s="759" t="s">
        <v>215</v>
      </c>
      <c r="F37" s="760"/>
      <c r="G37" s="443">
        <v>12.01</v>
      </c>
      <c r="H37" s="759" t="s">
        <v>243</v>
      </c>
      <c r="I37" s="760"/>
      <c r="J37" s="443">
        <v>4.5</v>
      </c>
      <c r="K37" s="444"/>
      <c r="L37" s="443"/>
      <c r="M37" s="445">
        <f>TRUNC((G37+J37+L37),2) /2</f>
        <v>8.2550000000000008</v>
      </c>
    </row>
    <row r="38" spans="1:13">
      <c r="A38" s="439" t="s">
        <v>274</v>
      </c>
      <c r="B38" s="440" t="s">
        <v>242</v>
      </c>
      <c r="C38" s="441" t="s">
        <v>200</v>
      </c>
      <c r="D38" s="448">
        <v>1</v>
      </c>
      <c r="E38" s="759" t="s">
        <v>215</v>
      </c>
      <c r="F38" s="760"/>
      <c r="G38" s="443">
        <v>4.97</v>
      </c>
      <c r="H38" s="759" t="s">
        <v>243</v>
      </c>
      <c r="I38" s="760"/>
      <c r="J38" s="443">
        <v>3.92</v>
      </c>
      <c r="K38" s="444" t="s">
        <v>246</v>
      </c>
      <c r="L38" s="443">
        <v>5.81</v>
      </c>
      <c r="M38" s="445">
        <v>4.9000000000000004</v>
      </c>
    </row>
    <row r="39" spans="1:13">
      <c r="A39" s="439" t="s">
        <v>275</v>
      </c>
      <c r="B39" s="449" t="s">
        <v>244</v>
      </c>
      <c r="C39" s="450" t="s">
        <v>190</v>
      </c>
      <c r="D39" s="451">
        <v>1</v>
      </c>
      <c r="E39" s="761" t="s">
        <v>208</v>
      </c>
      <c r="F39" s="762"/>
      <c r="G39" s="452">
        <v>625</v>
      </c>
      <c r="H39" s="761" t="s">
        <v>245</v>
      </c>
      <c r="I39" s="762"/>
      <c r="J39" s="452">
        <v>796</v>
      </c>
      <c r="K39" s="453" t="s">
        <v>246</v>
      </c>
      <c r="L39" s="454">
        <v>680</v>
      </c>
      <c r="M39" s="445">
        <f>(G39+J39+L39)/3</f>
        <v>700.33333333333337</v>
      </c>
    </row>
    <row r="40" spans="1:13" ht="21.75" customHeight="1">
      <c r="A40" s="439" t="s">
        <v>378</v>
      </c>
      <c r="B40" s="440" t="s">
        <v>379</v>
      </c>
      <c r="C40" s="441" t="s">
        <v>200</v>
      </c>
      <c r="D40" s="448">
        <v>1</v>
      </c>
      <c r="E40" s="759" t="s">
        <v>215</v>
      </c>
      <c r="F40" s="760"/>
      <c r="G40" s="443">
        <v>245.2</v>
      </c>
      <c r="H40" s="759" t="s">
        <v>216</v>
      </c>
      <c r="I40" s="760"/>
      <c r="J40" s="443">
        <v>208.1</v>
      </c>
      <c r="K40" s="444" t="s">
        <v>208</v>
      </c>
      <c r="L40" s="443">
        <v>289</v>
      </c>
      <c r="M40" s="445">
        <f t="shared" ref="M40" si="1">TRUNC((G40+J40+L40),2) /3</f>
        <v>247.43333333333331</v>
      </c>
    </row>
    <row r="41" spans="1:13">
      <c r="J41" s="457"/>
      <c r="L41" s="459"/>
      <c r="M41" s="457"/>
    </row>
    <row r="42" spans="1:13">
      <c r="J42" s="457"/>
    </row>
  </sheetData>
  <mergeCells count="74">
    <mergeCell ref="E40:F40"/>
    <mergeCell ref="H40:I40"/>
    <mergeCell ref="E34:F34"/>
    <mergeCell ref="H34:I34"/>
    <mergeCell ref="E35:F35"/>
    <mergeCell ref="H35:I35"/>
    <mergeCell ref="E39:F39"/>
    <mergeCell ref="H39:I39"/>
    <mergeCell ref="E36:F36"/>
    <mergeCell ref="H36:I36"/>
    <mergeCell ref="E37:F37"/>
    <mergeCell ref="H37:I37"/>
    <mergeCell ref="E38:F38"/>
    <mergeCell ref="H38:I38"/>
    <mergeCell ref="E31:F31"/>
    <mergeCell ref="H31:I31"/>
    <mergeCell ref="E32:F32"/>
    <mergeCell ref="H32:I32"/>
    <mergeCell ref="E33:F33"/>
    <mergeCell ref="H33:I33"/>
    <mergeCell ref="E28:F28"/>
    <mergeCell ref="H28:I28"/>
    <mergeCell ref="E29:F29"/>
    <mergeCell ref="H29:I29"/>
    <mergeCell ref="E30:F30"/>
    <mergeCell ref="H30:I30"/>
    <mergeCell ref="E25:F25"/>
    <mergeCell ref="H25:I25"/>
    <mergeCell ref="E26:F26"/>
    <mergeCell ref="H26:I26"/>
    <mergeCell ref="E27:F27"/>
    <mergeCell ref="H27:I27"/>
    <mergeCell ref="E22:F22"/>
    <mergeCell ref="H22:I22"/>
    <mergeCell ref="E23:F23"/>
    <mergeCell ref="H23:I23"/>
    <mergeCell ref="E24:F24"/>
    <mergeCell ref="H24:I24"/>
    <mergeCell ref="E19:F19"/>
    <mergeCell ref="H19:I19"/>
    <mergeCell ref="E20:F20"/>
    <mergeCell ref="H20:I20"/>
    <mergeCell ref="E21:F21"/>
    <mergeCell ref="H21:I21"/>
    <mergeCell ref="E16:F16"/>
    <mergeCell ref="H16:I16"/>
    <mergeCell ref="E17:F17"/>
    <mergeCell ref="H17:I17"/>
    <mergeCell ref="E18:F18"/>
    <mergeCell ref="H18:I18"/>
    <mergeCell ref="E13:F13"/>
    <mergeCell ref="H13:I13"/>
    <mergeCell ref="E14:F14"/>
    <mergeCell ref="H14:I14"/>
    <mergeCell ref="E15:F15"/>
    <mergeCell ref="H15:I15"/>
    <mergeCell ref="E10:F10"/>
    <mergeCell ref="H10:I10"/>
    <mergeCell ref="E11:F11"/>
    <mergeCell ref="H11:I11"/>
    <mergeCell ref="E12:F12"/>
    <mergeCell ref="H12:I12"/>
    <mergeCell ref="A1:M7"/>
    <mergeCell ref="A8:A9"/>
    <mergeCell ref="B8:B9"/>
    <mergeCell ref="C8:C9"/>
    <mergeCell ref="D8:D9"/>
    <mergeCell ref="E8:F9"/>
    <mergeCell ref="G8:G9"/>
    <mergeCell ref="H8:I9"/>
    <mergeCell ref="J8:J9"/>
    <mergeCell ref="K8:K9"/>
    <mergeCell ref="L8:L9"/>
    <mergeCell ref="M8:M9"/>
  </mergeCells>
  <printOptions horizontalCentered="1" gridLines="1"/>
  <pageMargins left="0.51181102362204722" right="0.51181102362204722" top="0.98425196850393704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10</vt:i4>
      </vt:variant>
    </vt:vector>
  </HeadingPairs>
  <TitlesOfParts>
    <vt:vector size="19" baseType="lpstr">
      <vt:lpstr>RESUMO</vt:lpstr>
      <vt:lpstr>CRON FÍSICO </vt:lpstr>
      <vt:lpstr>CRON FINAN</vt:lpstr>
      <vt:lpstr>PLAN ORÇ. PROJETÃO </vt:lpstr>
      <vt:lpstr>COMPOSIÇÃO</vt:lpstr>
      <vt:lpstr>PLAN AV S. SEB</vt:lpstr>
      <vt:lpstr>COMPOSIÇÃO AV S. SEB</vt:lpstr>
      <vt:lpstr>BDI</vt:lpstr>
      <vt:lpstr>COTAÇÃO</vt:lpstr>
      <vt:lpstr>BDI!Area_de_impressao</vt:lpstr>
      <vt:lpstr>COMPOSIÇÃO!Area_de_impressao</vt:lpstr>
      <vt:lpstr>'COMPOSIÇÃO AV S. SEB'!Area_de_impressao</vt:lpstr>
      <vt:lpstr>'CRON FINAN'!Area_de_impressao</vt:lpstr>
      <vt:lpstr>'PLAN AV S. SEB'!Area_de_impressao</vt:lpstr>
      <vt:lpstr>'PLAN ORÇ. PROJETÃO '!Area_de_impressao</vt:lpstr>
      <vt:lpstr>BDI!Titulos_de_impressao</vt:lpstr>
      <vt:lpstr>COMPOSIÇÃO!Titulos_de_impressao</vt:lpstr>
      <vt:lpstr>'CRON FINAN'!Titulos_de_impressao</vt:lpstr>
      <vt:lpstr>'PLAN ORÇ. PROJETÃO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Usuário do Windows</cp:lastModifiedBy>
  <cp:lastPrinted>2019-03-21T11:44:32Z</cp:lastPrinted>
  <dcterms:created xsi:type="dcterms:W3CDTF">2003-03-13T20:31:18Z</dcterms:created>
  <dcterms:modified xsi:type="dcterms:W3CDTF">2019-03-21T11:50:19Z</dcterms:modified>
</cp:coreProperties>
</file>